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C:\Users\dean.landreth\Desktop\"/>
    </mc:Choice>
  </mc:AlternateContent>
  <workbookProtection workbookAlgorithmName="SHA-512" workbookHashValue="qkMSNTfhHjjJYvRZQ+rHP18pKxyhew8IDLqGWA1GwgNBxs4LIs2MNjMUSI8YfKVl+vC7huV+2pZQRzFL9vj/pQ==" workbookSaltValue="Swt05ksFeLVveRpeXQ9DwA==" workbookSpinCount="100000" lockStructure="1"/>
  <bookViews>
    <workbookView xWindow="0" yWindow="0" windowWidth="21570" windowHeight="7980" tabRatio="956" xr2:uid="{00000000-000D-0000-FFFF-FFFF00000000}"/>
  </bookViews>
  <sheets>
    <sheet name="Guide" sheetId="19" r:id="rId1"/>
    <sheet name="Sources" sheetId="20" r:id="rId2"/>
    <sheet name="Comparisons across LEAs" sheetId="4" r:id="rId3"/>
    <sheet name="Comparisons Across LEAs 2" sheetId="18" r:id="rId4"/>
    <sheet name="SS Cap Fin Cover Sheet" sheetId="12" r:id="rId5"/>
    <sheet name="School System Cap Summary" sheetId="8" r:id="rId6"/>
    <sheet name="School Capital Request History" sheetId="10" r:id="rId7"/>
    <sheet name="County Capital History" sheetId="3" r:id="rId8"/>
    <sheet name="Annual Maintenance Comparison" sheetId="9" r:id="rId9"/>
    <sheet name="Comparable Bond Issues" sheetId="7" r:id="rId10"/>
    <sheet name="County Fund Balance" sheetId="6" r:id="rId11"/>
  </sheets>
  <definedNames>
    <definedName name="_xlnm._FilterDatabase" localSheetId="2" hidden="1">'Comparisons across LEAs'!$A$2:$X$30</definedName>
    <definedName name="_xlnm._FilterDatabase" localSheetId="3" hidden="1">'Comparisons Across LEAs 2'!$E$1:$K$20</definedName>
    <definedName name="_xlcn.LinkedTable_Table1" hidden="1">Table1[]</definedName>
    <definedName name="_xlcn.LinkedTable_Table2" hidden="1">Table2[]</definedName>
  </definedNames>
  <calcPr calcId="171027"/>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LinkedTable_Table1"/>
          <x15:modelTable id="Table2" name="Table2" connection="LinkedTable_Table2"/>
        </x15:modelTables>
      </x15:dataModel>
    </ext>
  </extLst>
</workbook>
</file>

<file path=xl/calcChain.xml><?xml version="1.0" encoding="utf-8"?>
<calcChain xmlns="http://schemas.openxmlformats.org/spreadsheetml/2006/main">
  <c r="I9" i="18" l="1"/>
  <c r="I6" i="18"/>
  <c r="I10" i="18"/>
  <c r="I7" i="18"/>
  <c r="I4" i="18"/>
  <c r="I18" i="18"/>
  <c r="I16" i="18"/>
  <c r="I17" i="18"/>
  <c r="I15" i="18"/>
  <c r="I19" i="18"/>
  <c r="I20" i="18"/>
  <c r="I11" i="18"/>
  <c r="I2" i="18"/>
  <c r="I13" i="18"/>
  <c r="I8" i="18"/>
  <c r="I14" i="18"/>
  <c r="I5" i="18"/>
  <c r="H4" i="18"/>
  <c r="H13" i="18"/>
  <c r="H18" i="18"/>
  <c r="H15" i="18"/>
  <c r="H9" i="18"/>
  <c r="H5" i="18"/>
  <c r="H16" i="18"/>
  <c r="H17" i="18"/>
  <c r="H6" i="18"/>
  <c r="H10" i="18"/>
  <c r="H8" i="18"/>
  <c r="H20" i="18"/>
  <c r="H11" i="18"/>
  <c r="H14" i="18"/>
  <c r="H7" i="18"/>
  <c r="H2" i="18"/>
  <c r="H19" i="18"/>
  <c r="I24" i="8" l="1"/>
  <c r="J19" i="4" l="1"/>
  <c r="J21" i="4" s="1"/>
  <c r="D21" i="4"/>
  <c r="L3" i="4" l="1"/>
  <c r="M3" i="4"/>
  <c r="Q3" i="4"/>
  <c r="R3" i="4"/>
  <c r="S3" i="4"/>
  <c r="U3" i="4"/>
  <c r="AJ3" i="4"/>
  <c r="AE3" i="4"/>
  <c r="L20" i="4"/>
  <c r="M20" i="4"/>
  <c r="Q20" i="4"/>
  <c r="R20" i="4"/>
  <c r="S20" i="4"/>
  <c r="U20" i="4"/>
  <c r="AJ20" i="4"/>
  <c r="AE20" i="4"/>
  <c r="N20" i="4" l="1"/>
  <c r="P20" i="4"/>
  <c r="N3" i="4"/>
  <c r="P3" i="4"/>
  <c r="AK3" i="4"/>
  <c r="AK20" i="4"/>
  <c r="AD3" i="4"/>
  <c r="O3" i="4"/>
  <c r="V3" i="4"/>
  <c r="AD20" i="4"/>
  <c r="O20" i="4"/>
  <c r="V20" i="4"/>
  <c r="L19" i="4" l="1"/>
  <c r="M19" i="4"/>
  <c r="Q19" i="4"/>
  <c r="R19" i="4"/>
  <c r="S19" i="4"/>
  <c r="U19" i="4"/>
  <c r="AJ19" i="4"/>
  <c r="AE19" i="4"/>
  <c r="N19" i="4" l="1"/>
  <c r="P19" i="4"/>
  <c r="O19" i="4"/>
  <c r="AD19" i="4"/>
  <c r="AK19" i="4"/>
  <c r="V19" i="4"/>
  <c r="L2" i="4"/>
  <c r="M2" i="4"/>
  <c r="Q2" i="4"/>
  <c r="R2" i="4"/>
  <c r="S2" i="4"/>
  <c r="U2" i="4"/>
  <c r="AJ2" i="4"/>
  <c r="AE2" i="4"/>
  <c r="AK2" i="4" l="1"/>
  <c r="P2" i="4"/>
  <c r="O2" i="4"/>
  <c r="AD2" i="4"/>
  <c r="V2" i="4"/>
  <c r="N2" i="4"/>
  <c r="G4" i="7" l="1"/>
  <c r="G5" i="7"/>
  <c r="G6" i="7"/>
  <c r="G7" i="7"/>
  <c r="G8" i="7"/>
  <c r="G9" i="7"/>
  <c r="G10" i="7"/>
  <c r="G3" i="7"/>
  <c r="U4" i="4" l="1"/>
  <c r="U8" i="4"/>
  <c r="U6" i="4"/>
  <c r="U12" i="4"/>
  <c r="U7" i="4"/>
  <c r="U10" i="4"/>
  <c r="U13" i="4"/>
  <c r="U11" i="4"/>
  <c r="U9" i="4"/>
  <c r="U18" i="4"/>
  <c r="U17" i="4"/>
  <c r="U16" i="4"/>
  <c r="U14" i="4"/>
  <c r="U15" i="4"/>
  <c r="L16" i="4" l="1"/>
  <c r="M16" i="4"/>
  <c r="Q16" i="4"/>
  <c r="R16" i="4"/>
  <c r="S16" i="4"/>
  <c r="AJ16" i="4"/>
  <c r="P16" i="4" s="1"/>
  <c r="AE16" i="4"/>
  <c r="L14" i="4"/>
  <c r="M14" i="4"/>
  <c r="Q14" i="4"/>
  <c r="R14" i="4"/>
  <c r="S14" i="4"/>
  <c r="AJ14" i="4"/>
  <c r="AE14" i="4"/>
  <c r="L18" i="4"/>
  <c r="M18" i="4"/>
  <c r="Q18" i="4"/>
  <c r="R18" i="4"/>
  <c r="S18" i="4"/>
  <c r="AJ18" i="4"/>
  <c r="P18" i="4" s="1"/>
  <c r="AE18" i="4"/>
  <c r="L17" i="4"/>
  <c r="M17" i="4"/>
  <c r="Q17" i="4"/>
  <c r="R17" i="4"/>
  <c r="S17" i="4"/>
  <c r="AJ17" i="4"/>
  <c r="P17" i="4" s="1"/>
  <c r="AE17" i="4"/>
  <c r="L15" i="4"/>
  <c r="M15" i="4"/>
  <c r="Q15" i="4"/>
  <c r="R15" i="4"/>
  <c r="S15" i="4"/>
  <c r="AJ15" i="4"/>
  <c r="AE15" i="4"/>
  <c r="V15" i="4" l="1"/>
  <c r="P15" i="4"/>
  <c r="V14" i="4"/>
  <c r="P14" i="4"/>
  <c r="AK18" i="4"/>
  <c r="V18" i="4"/>
  <c r="AK17" i="4"/>
  <c r="V17" i="4"/>
  <c r="AK16" i="4"/>
  <c r="V16" i="4"/>
  <c r="N15" i="4"/>
  <c r="AK15" i="4"/>
  <c r="O14" i="4"/>
  <c r="AK14" i="4"/>
  <c r="AD16" i="4"/>
  <c r="N14" i="4"/>
  <c r="AD15" i="4"/>
  <c r="AD18" i="4"/>
  <c r="AD14" i="4"/>
  <c r="O16" i="4"/>
  <c r="N16" i="4"/>
  <c r="O18" i="4"/>
  <c r="N18" i="4"/>
  <c r="N17" i="4"/>
  <c r="AD17" i="4"/>
  <c r="O17" i="4"/>
  <c r="O15" i="4"/>
  <c r="Q7" i="8"/>
  <c r="S7" i="4" l="1"/>
  <c r="S11" i="4"/>
  <c r="S9" i="4"/>
  <c r="S10" i="4"/>
  <c r="S12" i="4"/>
  <c r="S13" i="4"/>
  <c r="S8" i="4"/>
  <c r="S5" i="4"/>
  <c r="S6" i="4"/>
  <c r="S4" i="4"/>
  <c r="R5" i="4"/>
  <c r="R4" i="4"/>
  <c r="R8" i="4"/>
  <c r="R6" i="4"/>
  <c r="R12" i="4"/>
  <c r="R7" i="4"/>
  <c r="R10" i="4"/>
  <c r="R13" i="4"/>
  <c r="R11" i="4"/>
  <c r="R9" i="4"/>
  <c r="S21" i="4" l="1"/>
  <c r="R21" i="4"/>
  <c r="G14" i="6"/>
  <c r="G13" i="6"/>
  <c r="G12" i="6"/>
  <c r="G15" i="6"/>
  <c r="B22" i="8" l="1"/>
  <c r="C22" i="8"/>
  <c r="I22" i="8"/>
  <c r="H22" i="8"/>
  <c r="M22" i="8"/>
  <c r="L22" i="8"/>
  <c r="P22" i="8"/>
  <c r="O8" i="8"/>
  <c r="E10" i="7" l="1"/>
  <c r="E9" i="7"/>
  <c r="E8" i="7"/>
  <c r="E7" i="7"/>
  <c r="E6" i="7"/>
  <c r="E5" i="7"/>
  <c r="E4" i="7"/>
  <c r="E3" i="7"/>
  <c r="Q13" i="4" l="1"/>
  <c r="Q4" i="4"/>
  <c r="Q10" i="4"/>
  <c r="Q12" i="4"/>
  <c r="Q9" i="4"/>
  <c r="Q8" i="4"/>
  <c r="Q5" i="4"/>
  <c r="Q6" i="4"/>
  <c r="Q7" i="4"/>
  <c r="Q11" i="4"/>
  <c r="L5" i="4"/>
  <c r="L4" i="4"/>
  <c r="L9" i="4"/>
  <c r="L12" i="4"/>
  <c r="L11" i="4"/>
  <c r="L6" i="4"/>
  <c r="L13" i="4"/>
  <c r="L7" i="4"/>
  <c r="M10" i="4"/>
  <c r="M5" i="4"/>
  <c r="M4" i="4"/>
  <c r="M9" i="4"/>
  <c r="M12" i="4"/>
  <c r="M11" i="4"/>
  <c r="M6" i="4"/>
  <c r="M13" i="4"/>
  <c r="M7" i="4"/>
  <c r="M8" i="4"/>
  <c r="L8" i="4"/>
  <c r="L10" i="4"/>
  <c r="Q21" i="4" l="1"/>
  <c r="M21" i="4"/>
  <c r="L21" i="4"/>
  <c r="F36" i="3" l="1"/>
  <c r="K9" i="8"/>
  <c r="K8" i="8"/>
  <c r="N8" i="8" s="1"/>
  <c r="Q8" i="8" s="1"/>
  <c r="K7" i="8"/>
  <c r="O7" i="8" s="1"/>
  <c r="K6" i="8"/>
  <c r="O6" i="8" s="1"/>
  <c r="Q6" i="8" s="1"/>
  <c r="N9" i="8" l="1"/>
  <c r="Q9" i="8" s="1"/>
  <c r="O9" i="8"/>
  <c r="H26" i="9"/>
  <c r="H10" i="9"/>
  <c r="H3" i="9"/>
  <c r="G3" i="9"/>
  <c r="G10" i="9"/>
  <c r="G26" i="9" s="1"/>
  <c r="D10" i="9"/>
  <c r="D3" i="9"/>
  <c r="D26" i="9" s="1"/>
  <c r="C3" i="9"/>
  <c r="C10" i="9"/>
  <c r="C26" i="9" s="1"/>
  <c r="F10" i="9" l="1"/>
  <c r="B10" i="9"/>
  <c r="B26" i="9" s="1"/>
  <c r="C28" i="9" s="1"/>
  <c r="F3" i="9"/>
  <c r="F26" i="9" s="1"/>
  <c r="G28" i="9" s="1"/>
  <c r="B3" i="9"/>
  <c r="F46" i="3" l="1"/>
  <c r="C63" i="3"/>
  <c r="D63" i="3"/>
  <c r="E63" i="3" l="1"/>
  <c r="F61"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7" i="3"/>
  <c r="F38" i="3"/>
  <c r="F39" i="3"/>
  <c r="F40" i="3"/>
  <c r="F41" i="3"/>
  <c r="F42" i="3"/>
  <c r="F43" i="3"/>
  <c r="F44" i="3"/>
  <c r="F45" i="3"/>
  <c r="F47" i="3"/>
  <c r="F48" i="3"/>
  <c r="F49" i="3"/>
  <c r="F50" i="3"/>
  <c r="F51" i="3"/>
  <c r="F52" i="3"/>
  <c r="F53" i="3"/>
  <c r="F54" i="3"/>
  <c r="F55" i="3"/>
  <c r="F56" i="3"/>
  <c r="F57" i="3"/>
  <c r="F58" i="3"/>
  <c r="F59" i="3"/>
  <c r="F60" i="3"/>
  <c r="F2" i="3"/>
  <c r="C25" i="8"/>
  <c r="H64" i="3" l="1"/>
  <c r="H44" i="3"/>
  <c r="H42" i="3"/>
  <c r="H50" i="3"/>
  <c r="H2" i="3"/>
  <c r="H29" i="3"/>
  <c r="H24" i="3"/>
  <c r="H40" i="3"/>
  <c r="H15" i="3"/>
  <c r="H34" i="3"/>
  <c r="F63" i="3"/>
  <c r="H53" i="3"/>
  <c r="K12" i="8"/>
  <c r="K13" i="8"/>
  <c r="K14" i="8"/>
  <c r="K15" i="8"/>
  <c r="N15" i="8" s="1"/>
  <c r="K16" i="8"/>
  <c r="N16" i="8" s="1"/>
  <c r="K17" i="8"/>
  <c r="N17" i="8" s="1"/>
  <c r="K18" i="8"/>
  <c r="N18" i="8" s="1"/>
  <c r="K19" i="8"/>
  <c r="K20" i="8"/>
  <c r="N20" i="8" s="1"/>
  <c r="K11" i="8"/>
  <c r="K10" i="8"/>
  <c r="D11" i="8"/>
  <c r="D12" i="8" s="1"/>
  <c r="D13" i="8" s="1"/>
  <c r="D14" i="8" s="1"/>
  <c r="D15" i="8" s="1"/>
  <c r="D16" i="8" s="1"/>
  <c r="D17" i="8" s="1"/>
  <c r="D18" i="8" s="1"/>
  <c r="D19" i="8" s="1"/>
  <c r="N13" i="8" l="1"/>
  <c r="N12" i="8"/>
  <c r="N19" i="8"/>
  <c r="N10" i="8"/>
  <c r="Q10" i="8" s="1"/>
  <c r="O10" i="8"/>
  <c r="O11" i="8" s="1"/>
  <c r="O12" i="8" s="1"/>
  <c r="O13" i="8" s="1"/>
  <c r="O14" i="8" s="1"/>
  <c r="O15" i="8" s="1"/>
  <c r="O16" i="8" s="1"/>
  <c r="O17" i="8" s="1"/>
  <c r="O18" i="8" s="1"/>
  <c r="O19" i="8" s="1"/>
  <c r="O25" i="8" s="1"/>
  <c r="N14" i="8"/>
  <c r="N11" i="8"/>
  <c r="Q11" i="8" s="1"/>
  <c r="K22" i="8"/>
  <c r="D20" i="8"/>
  <c r="H63" i="3"/>
  <c r="AE13" i="4"/>
  <c r="AE8" i="4"/>
  <c r="AE5" i="4"/>
  <c r="AE10" i="4"/>
  <c r="AE4" i="4"/>
  <c r="AE12" i="4"/>
  <c r="AE9" i="4"/>
  <c r="AE6" i="4"/>
  <c r="AE11" i="4"/>
  <c r="AE7" i="4"/>
  <c r="Q12" i="8" l="1"/>
  <c r="Q13" i="8" s="1"/>
  <c r="Q14" i="8" s="1"/>
  <c r="Q15" i="8" s="1"/>
  <c r="Q16" i="8" s="1"/>
  <c r="Q17" i="8" s="1"/>
  <c r="Q18" i="8" s="1"/>
  <c r="Q19" i="8" s="1"/>
  <c r="AE21" i="4"/>
  <c r="O20" i="8"/>
  <c r="C67" i="3"/>
  <c r="H65" i="3"/>
  <c r="C68" i="3" s="1"/>
  <c r="Q25" i="8" l="1"/>
  <c r="Q20" i="8"/>
  <c r="O27" i="8"/>
  <c r="O26" i="8"/>
  <c r="Q27" i="8" l="1"/>
  <c r="Q26" i="8"/>
  <c r="J9" i="6"/>
  <c r="J7" i="6"/>
  <c r="J6" i="6"/>
  <c r="J5" i="6"/>
  <c r="J10" i="6"/>
  <c r="G5" i="6" l="1"/>
  <c r="AJ11" i="4" l="1"/>
  <c r="P11" i="4" s="1"/>
  <c r="AJ7" i="4"/>
  <c r="P7" i="4" s="1"/>
  <c r="AJ12" i="4"/>
  <c r="P12" i="4" s="1"/>
  <c r="AJ9" i="4"/>
  <c r="AJ6" i="4"/>
  <c r="P6" i="4" s="1"/>
  <c r="AJ8" i="4"/>
  <c r="AJ13" i="4"/>
  <c r="P13" i="4" s="1"/>
  <c r="AJ4" i="4"/>
  <c r="P4" i="4" s="1"/>
  <c r="AJ10" i="4"/>
  <c r="P10" i="4" s="1"/>
  <c r="AJ5" i="4"/>
  <c r="P5" i="4" s="1"/>
  <c r="U5" i="4"/>
  <c r="V8" i="4" l="1"/>
  <c r="P8" i="4"/>
  <c r="V9" i="4"/>
  <c r="P9" i="4"/>
  <c r="N10" i="4"/>
  <c r="V10" i="4"/>
  <c r="N6" i="4"/>
  <c r="V6" i="4"/>
  <c r="N11" i="4"/>
  <c r="V11" i="4"/>
  <c r="N4" i="4"/>
  <c r="V4" i="4"/>
  <c r="N13" i="4"/>
  <c r="V13" i="4"/>
  <c r="N12" i="4"/>
  <c r="V12" i="4"/>
  <c r="N5" i="4"/>
  <c r="V5" i="4"/>
  <c r="N7" i="4"/>
  <c r="V7" i="4"/>
  <c r="O9" i="4"/>
  <c r="N9" i="4"/>
  <c r="O8" i="4"/>
  <c r="N8" i="4"/>
  <c r="AK13" i="4"/>
  <c r="O13" i="4"/>
  <c r="AK12" i="4"/>
  <c r="O12" i="4"/>
  <c r="AK5" i="4"/>
  <c r="O5" i="4"/>
  <c r="AK7" i="4"/>
  <c r="O7" i="4"/>
  <c r="AK4" i="4"/>
  <c r="O4" i="4"/>
  <c r="AK10" i="4"/>
  <c r="O10" i="4"/>
  <c r="AK6" i="4"/>
  <c r="O6" i="4"/>
  <c r="AK11" i="4"/>
  <c r="O11" i="4"/>
  <c r="AD9" i="4"/>
  <c r="AK9" i="4"/>
  <c r="AD8" i="4"/>
  <c r="AK8" i="4"/>
  <c r="AD13" i="4"/>
  <c r="AD12" i="4"/>
  <c r="AD5" i="4"/>
  <c r="AD7" i="4"/>
  <c r="AD10" i="4"/>
  <c r="AD6" i="4"/>
  <c r="AD11" i="4"/>
  <c r="AD4" i="4"/>
  <c r="G7" i="6"/>
  <c r="G6" i="6"/>
  <c r="I6" i="6" s="1"/>
  <c r="G10" i="6"/>
  <c r="G9" i="6"/>
  <c r="G8" i="6"/>
  <c r="O21" i="4" l="1"/>
  <c r="AK21" i="4"/>
  <c r="N21" i="4"/>
  <c r="I9" i="6"/>
  <c r="I7" i="6"/>
  <c r="I5" i="6"/>
  <c r="I10" i="6"/>
  <c r="H8" i="6" l="1"/>
  <c r="I8" i="6" l="1"/>
  <c r="J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Griffin</author>
  </authors>
  <commentList>
    <comment ref="E1" authorId="0" shapeId="0" xr:uid="{00000000-0006-0000-0500-000001000000}">
      <text>
        <r>
          <rPr>
            <b/>
            <sz val="9"/>
            <color indexed="81"/>
            <rFont val="Tahoma"/>
            <family val="2"/>
          </rPr>
          <t>Jonathan Griffin:</t>
        </r>
        <r>
          <rPr>
            <sz val="9"/>
            <color indexed="81"/>
            <rFont val="Tahoma"/>
            <family val="2"/>
          </rPr>
          <t xml:space="preserve">
The school system ceased to list by Category Types beginning in FY14.</t>
        </r>
      </text>
    </comment>
    <comment ref="L1" authorId="0" shapeId="0" xr:uid="{00000000-0006-0000-0500-000002000000}">
      <text>
        <r>
          <rPr>
            <b/>
            <sz val="9"/>
            <color indexed="81"/>
            <rFont val="Tahoma"/>
            <family val="2"/>
          </rPr>
          <t>Jonathan Griffin:</t>
        </r>
        <r>
          <rPr>
            <sz val="9"/>
            <color indexed="81"/>
            <rFont val="Tahoma"/>
            <family val="2"/>
          </rPr>
          <t xml:space="preserve">
Lottery funds are included in this analysis because they are, for legal purposes, county dollars.
</t>
        </r>
      </text>
    </comment>
    <comment ref="M1" authorId="0" shapeId="0" xr:uid="{00000000-0006-0000-0500-000003000000}">
      <text>
        <r>
          <rPr>
            <b/>
            <sz val="9"/>
            <color indexed="81"/>
            <rFont val="Tahoma"/>
            <family val="2"/>
          </rPr>
          <t>Jonathan Griffin:</t>
        </r>
        <r>
          <rPr>
            <sz val="9"/>
            <color indexed="81"/>
            <rFont val="Tahoma"/>
            <family val="2"/>
          </rPr>
          <t xml:space="preserve">
It is important to include these revenues because they frequently exceed initial estimates given at the beginning of the budget request process.</t>
        </r>
      </text>
    </comment>
    <comment ref="P1" authorId="0" shapeId="0" xr:uid="{00000000-0006-0000-0500-000004000000}">
      <text>
        <r>
          <rPr>
            <b/>
            <sz val="9"/>
            <color indexed="81"/>
            <rFont val="Tahoma"/>
            <family val="2"/>
          </rPr>
          <t>Jonathan Griffin:</t>
        </r>
        <r>
          <rPr>
            <sz val="9"/>
            <color indexed="81"/>
            <rFont val="Tahoma"/>
            <family val="2"/>
          </rPr>
          <t xml:space="preserve">
A school system's capital fund balance almost exclusively reflects dollars appropriated by county governments in the past that have been carried forward.</t>
        </r>
      </text>
    </comment>
    <comment ref="P8" authorId="0" shapeId="0" xr:uid="{00000000-0006-0000-0500-000005000000}">
      <text>
        <r>
          <rPr>
            <b/>
            <sz val="9"/>
            <color indexed="81"/>
            <rFont val="Tahoma"/>
            <family val="2"/>
          </rPr>
          <t>Jonathan Griffin:</t>
        </r>
        <r>
          <rPr>
            <sz val="9"/>
            <color indexed="81"/>
            <rFont val="Tahoma"/>
            <family val="2"/>
          </rPr>
          <t xml:space="preserve">
It's possible there was a drawdown of fund balance here but we have no records.</t>
        </r>
      </text>
    </comment>
    <comment ref="P9" authorId="0" shapeId="0" xr:uid="{00000000-0006-0000-0500-000006000000}">
      <text>
        <r>
          <rPr>
            <b/>
            <sz val="9"/>
            <color indexed="81"/>
            <rFont val="Tahoma"/>
            <family val="2"/>
          </rPr>
          <t>Jonathan Griffin:</t>
        </r>
        <r>
          <rPr>
            <sz val="9"/>
            <color indexed="81"/>
            <rFont val="Tahoma"/>
            <family val="2"/>
          </rPr>
          <t xml:space="preserve">
It's possible there was a drawdown of fund balance here but we have no records.</t>
        </r>
      </text>
    </comment>
    <comment ref="B10" authorId="0" shapeId="0" xr:uid="{00000000-0006-0000-0500-000007000000}">
      <text>
        <r>
          <rPr>
            <b/>
            <sz val="9"/>
            <color indexed="81"/>
            <rFont val="Tahoma"/>
            <family val="2"/>
          </rPr>
          <t>Jonathan Griffin:</t>
        </r>
        <r>
          <rPr>
            <sz val="9"/>
            <color indexed="81"/>
            <rFont val="Tahoma"/>
            <family val="2"/>
          </rPr>
          <t xml:space="preserve">
This number appears to be a conflation and almost assuredly wrong. The County made an emergency appropriation for $350,000 for repairs at the BHS Stadium in 2006 - part was used in FY06, the other part in FY07. This counts both parts in FY2007.</t>
        </r>
      </text>
    </comment>
    <comment ref="P10" authorId="0" shapeId="0" xr:uid="{00000000-0006-0000-0500-000008000000}">
      <text>
        <r>
          <rPr>
            <b/>
            <sz val="9"/>
            <color indexed="81"/>
            <rFont val="Tahoma"/>
            <family val="2"/>
          </rPr>
          <t>Jonathan Griffin:</t>
        </r>
        <r>
          <rPr>
            <sz val="9"/>
            <color indexed="81"/>
            <rFont val="Tahoma"/>
            <family val="2"/>
          </rPr>
          <t xml:space="preserve">
It's possible there was a drawdown of fund balance here but we have no records.</t>
        </r>
      </text>
    </comment>
    <comment ref="C11" authorId="0" shapeId="0" xr:uid="{00000000-0006-0000-0500-000009000000}">
      <text>
        <r>
          <rPr>
            <b/>
            <sz val="9"/>
            <color indexed="81"/>
            <rFont val="Tahoma"/>
            <family val="2"/>
          </rPr>
          <t>Jonathan Griffin:</t>
        </r>
        <r>
          <rPr>
            <sz val="9"/>
            <color indexed="81"/>
            <rFont val="Tahoma"/>
            <family val="2"/>
          </rPr>
          <t xml:space="preserve">
Their FY2017 request said they asked for 3,123,055.
</t>
        </r>
      </text>
    </comment>
    <comment ref="H11" authorId="0" shapeId="0" xr:uid="{00000000-0006-0000-0500-00000A000000}">
      <text>
        <r>
          <rPr>
            <b/>
            <sz val="9"/>
            <color indexed="81"/>
            <rFont val="Tahoma"/>
            <family val="2"/>
          </rPr>
          <t>Jonathan Griffin:</t>
        </r>
        <r>
          <rPr>
            <sz val="9"/>
            <color indexed="81"/>
            <rFont val="Tahoma"/>
            <family val="2"/>
          </rPr>
          <t xml:space="preserve">
This was the total capital outlay for the system in their FY2008 documents, no explanation for the 500k difference can be found.</t>
        </r>
      </text>
    </comment>
    <comment ref="M12" authorId="0" shapeId="0" xr:uid="{00000000-0006-0000-0500-00000B000000}">
      <text>
        <r>
          <rPr>
            <b/>
            <sz val="9"/>
            <color indexed="81"/>
            <rFont val="Tahoma"/>
            <family val="2"/>
          </rPr>
          <t>Jonathan Griffin:</t>
        </r>
        <r>
          <rPr>
            <sz val="9"/>
            <color indexed="81"/>
            <rFont val="Tahoma"/>
            <family val="2"/>
          </rPr>
          <t xml:space="preserve">
This is the estimate from the FY09 budget request.
</t>
        </r>
      </text>
    </comment>
    <comment ref="M13" authorId="0" shapeId="0" xr:uid="{00000000-0006-0000-0500-00000C000000}">
      <text>
        <r>
          <rPr>
            <b/>
            <sz val="9"/>
            <color indexed="81"/>
            <rFont val="Tahoma"/>
            <family val="2"/>
          </rPr>
          <t>Jonathan Griffin:</t>
        </r>
        <r>
          <rPr>
            <sz val="9"/>
            <color indexed="81"/>
            <rFont val="Tahoma"/>
            <family val="2"/>
          </rPr>
          <t xml:space="preserve">
Estimate from FY10 budget request.</t>
        </r>
      </text>
    </comment>
    <comment ref="M14" authorId="0" shapeId="0" xr:uid="{00000000-0006-0000-0500-00000D000000}">
      <text>
        <r>
          <rPr>
            <b/>
            <sz val="9"/>
            <color indexed="81"/>
            <rFont val="Tahoma"/>
            <family val="2"/>
          </rPr>
          <t>Jonathan Griffin:</t>
        </r>
        <r>
          <rPr>
            <sz val="9"/>
            <color indexed="81"/>
            <rFont val="Tahoma"/>
            <family val="2"/>
          </rPr>
          <t xml:space="preserve">
Actual amt from School System Financial Report.
</t>
        </r>
      </text>
    </comment>
    <comment ref="M15" authorId="0" shapeId="0" xr:uid="{00000000-0006-0000-0500-00000E000000}">
      <text>
        <r>
          <rPr>
            <b/>
            <sz val="9"/>
            <color indexed="81"/>
            <rFont val="Tahoma"/>
            <family val="2"/>
          </rPr>
          <t>Jonathan Griffin:</t>
        </r>
        <r>
          <rPr>
            <sz val="9"/>
            <color indexed="81"/>
            <rFont val="Tahoma"/>
            <family val="2"/>
          </rPr>
          <t xml:space="preserve">
Actual amt from School System Financial Report</t>
        </r>
      </text>
    </comment>
    <comment ref="M16" authorId="0" shapeId="0" xr:uid="{00000000-0006-0000-0500-00000F000000}">
      <text>
        <r>
          <rPr>
            <b/>
            <sz val="9"/>
            <color indexed="81"/>
            <rFont val="Tahoma"/>
            <family val="2"/>
          </rPr>
          <t>Jonathan Griffin:</t>
        </r>
        <r>
          <rPr>
            <sz val="9"/>
            <color indexed="81"/>
            <rFont val="Tahoma"/>
            <family val="2"/>
          </rPr>
          <t xml:space="preserve">
Actual amt from School System Financial Report</t>
        </r>
      </text>
    </comment>
    <comment ref="M17" authorId="0" shapeId="0" xr:uid="{00000000-0006-0000-0500-000010000000}">
      <text>
        <r>
          <rPr>
            <b/>
            <sz val="9"/>
            <color indexed="81"/>
            <rFont val="Tahoma"/>
            <family val="2"/>
          </rPr>
          <t>Jonathan Griffin:</t>
        </r>
        <r>
          <rPr>
            <sz val="9"/>
            <color indexed="81"/>
            <rFont val="Tahoma"/>
            <family val="2"/>
          </rPr>
          <t xml:space="preserve">
Actual amt from School System Financial Report</t>
        </r>
      </text>
    </comment>
    <comment ref="H18" authorId="0" shapeId="0" xr:uid="{00000000-0006-0000-0500-000011000000}">
      <text>
        <r>
          <rPr>
            <b/>
            <sz val="9"/>
            <color indexed="81"/>
            <rFont val="Tahoma"/>
            <family val="2"/>
          </rPr>
          <t xml:space="preserve">Jonathan Griffin
</t>
        </r>
        <r>
          <rPr>
            <sz val="9"/>
            <color indexed="81"/>
            <rFont val="Tahoma"/>
            <family val="2"/>
          </rPr>
          <t>I couldn't find this on their request (the appropriation request page is missing) where they actually said they wanted 1.6m this year, but was able to get the figure from their FY2017 documents.</t>
        </r>
        <r>
          <rPr>
            <b/>
            <sz val="9"/>
            <color indexed="81"/>
            <rFont val="Tahoma"/>
            <family val="2"/>
          </rPr>
          <t xml:space="preserve">
</t>
        </r>
      </text>
    </comment>
    <comment ref="M18" authorId="0" shapeId="0" xr:uid="{00000000-0006-0000-0500-000012000000}">
      <text>
        <r>
          <rPr>
            <b/>
            <sz val="9"/>
            <color indexed="81"/>
            <rFont val="Tahoma"/>
            <family val="2"/>
          </rPr>
          <t>Jonathan Griffin:</t>
        </r>
        <r>
          <rPr>
            <sz val="9"/>
            <color indexed="81"/>
            <rFont val="Tahoma"/>
            <family val="2"/>
          </rPr>
          <t xml:space="preserve">
Actual amt from School System Financial Report</t>
        </r>
      </text>
    </comment>
    <comment ref="M19" authorId="0" shapeId="0" xr:uid="{00000000-0006-0000-0500-000013000000}">
      <text>
        <r>
          <rPr>
            <b/>
            <sz val="9"/>
            <color indexed="81"/>
            <rFont val="Tahoma"/>
            <family val="2"/>
          </rPr>
          <t>Jonathan Griffin:</t>
        </r>
        <r>
          <rPr>
            <sz val="9"/>
            <color indexed="81"/>
            <rFont val="Tahoma"/>
            <family val="2"/>
          </rPr>
          <t xml:space="preserve">
Actual amt from School System Financial Report</t>
        </r>
      </text>
    </comment>
    <comment ref="D20" authorId="0" shapeId="0" xr:uid="{00000000-0006-0000-0500-000014000000}">
      <text>
        <r>
          <rPr>
            <b/>
            <sz val="9"/>
            <color indexed="81"/>
            <rFont val="Tahoma"/>
            <family val="2"/>
          </rPr>
          <t>Jonathan Griffin:</t>
        </r>
        <r>
          <rPr>
            <sz val="9"/>
            <color indexed="81"/>
            <rFont val="Tahoma"/>
            <family val="2"/>
          </rPr>
          <t xml:space="preserve">
This is an extrapolation of their formula.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Jonathan Griffin</author>
  </authors>
  <commentList>
    <comment ref="A7" authorId="0" shapeId="0" xr:uid="{00000000-0006-0000-0900-000001000000}">
      <text>
        <r>
          <rPr>
            <b/>
            <sz val="9"/>
            <color indexed="81"/>
            <rFont val="Tahoma"/>
            <family val="2"/>
          </rPr>
          <t>Jonathan Griffin:</t>
        </r>
        <r>
          <rPr>
            <sz val="9"/>
            <color indexed="81"/>
            <rFont val="Tahoma"/>
            <family val="2"/>
          </rPr>
          <t xml:space="preserve">
I couldn't manage to isolate how many schools were in Johnston County in 2005, so in good faith I struck this through.
</t>
        </r>
      </text>
    </comment>
    <comment ref="A9" authorId="0" shapeId="0" xr:uid="{00000000-0006-0000-0900-000002000000}">
      <text>
        <r>
          <rPr>
            <b/>
            <sz val="9"/>
            <color indexed="81"/>
            <rFont val="Tahoma"/>
            <family val="2"/>
          </rPr>
          <t>Jonathan Griffin:</t>
        </r>
        <r>
          <rPr>
            <sz val="9"/>
            <color indexed="81"/>
            <rFont val="Tahoma"/>
            <family val="2"/>
          </rPr>
          <t xml:space="preserve">
Based on what I can find - the schools from this bond issuance have not yet completed construction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LinkedTable_Table1" type="102" refreshedVersion="6" minRefreshableVersion="5">
    <extLst>
      <ext xmlns:x15="http://schemas.microsoft.com/office/spreadsheetml/2010/11/main" uri="{DE250136-89BD-433C-8126-D09CA5730AF9}">
        <x15:connection id="Table1">
          <x15:rangePr sourceName="_xlcn.LinkedTable_Table1"/>
        </x15:connection>
      </ext>
    </extLst>
  </connection>
  <connection id="2" xr16:uid="{00000000-0015-0000-FFFF-FFFF01000000}" name="LinkedTable_Table2" type="102" refreshedVersion="6" minRefreshableVersion="5">
    <extLst>
      <ext xmlns:x15="http://schemas.microsoft.com/office/spreadsheetml/2010/11/main" uri="{DE250136-89BD-433C-8126-D09CA5730AF9}">
        <x15:connection id="Table2">
          <x15:rangePr sourceName="_xlcn.LinkedTable_Table2"/>
        </x15:connection>
      </ext>
    </extLst>
  </connection>
  <connection id="3" xr16:uid="{00000000-0015-0000-FFFF-FFFF02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<sst xmlns="http://schemas.openxmlformats.org/spreadsheetml/2006/main" count="1109" uniqueCount="416">
  <si>
    <t>FY2016</t>
  </si>
  <si>
    <t>Total</t>
  </si>
  <si>
    <t>County</t>
  </si>
  <si>
    <t>FY</t>
  </si>
  <si>
    <t>02-03</t>
  </si>
  <si>
    <t>03-04</t>
  </si>
  <si>
    <t>04-05</t>
  </si>
  <si>
    <t>05-06</t>
  </si>
  <si>
    <t>06-07</t>
  </si>
  <si>
    <t>07-08</t>
  </si>
  <si>
    <t>08-09</t>
  </si>
  <si>
    <t>09-10</t>
  </si>
  <si>
    <t>10-11</t>
  </si>
  <si>
    <t>11-12</t>
  </si>
  <si>
    <t>12-13</t>
  </si>
  <si>
    <t>13-14</t>
  </si>
  <si>
    <t>14-15</t>
  </si>
  <si>
    <t>15-16</t>
  </si>
  <si>
    <t>16-17</t>
  </si>
  <si>
    <t>Restricted</t>
  </si>
  <si>
    <t>FY2011</t>
  </si>
  <si>
    <t>FY2012</t>
  </si>
  <si>
    <t>FY2013</t>
  </si>
  <si>
    <t>FY2014</t>
  </si>
  <si>
    <t>FY2015</t>
  </si>
  <si>
    <t>** Updated Government Accounting Standards Boards rules changed how the county calculated fund balances classifications beginning in FY2011. FY2010 and prior fund balances were not recalculated in the new standard.</t>
  </si>
  <si>
    <t>Non Spendable</t>
  </si>
  <si>
    <t>Committed</t>
  </si>
  <si>
    <t>Assigned</t>
  </si>
  <si>
    <t>Unassigned</t>
  </si>
  <si>
    <t>Transylvania County Fund Balance of General Fund</t>
  </si>
  <si>
    <t>Cost</t>
  </si>
  <si>
    <t>Henderson</t>
  </si>
  <si>
    <t>Jackson</t>
  </si>
  <si>
    <t>Scotland</t>
  </si>
  <si>
    <t>Montgomery</t>
  </si>
  <si>
    <t>Dare</t>
  </si>
  <si>
    <t>Macon</t>
  </si>
  <si>
    <t>Haywood</t>
  </si>
  <si>
    <t>Designation</t>
  </si>
  <si>
    <t>Neighbor</t>
  </si>
  <si>
    <t>Transylvania</t>
  </si>
  <si>
    <t>Buncombe</t>
  </si>
  <si>
    <t>Counties / School System</t>
  </si>
  <si>
    <t>% in Charter School</t>
  </si>
  <si>
    <t>Most Recent School Construction</t>
  </si>
  <si>
    <t>General Fund Budget</t>
  </si>
  <si>
    <t>High Schools</t>
  </si>
  <si>
    <t>Middle Schools</t>
  </si>
  <si>
    <t>Elementary Schools</t>
  </si>
  <si>
    <t>Alternative Schools</t>
  </si>
  <si>
    <t>Total Schools</t>
  </si>
  <si>
    <t>Self Reported Facility Needs Survey FY2016</t>
  </si>
  <si>
    <t>Economic Comparison</t>
  </si>
  <si>
    <t>---</t>
  </si>
  <si>
    <t>Debt Issued in Most Recent Bond Sale</t>
  </si>
  <si>
    <t>Most Recent Alternative Financing (COPS, QZAB, QSCB)</t>
  </si>
  <si>
    <t>Debt Issued in Alt Financing</t>
  </si>
  <si>
    <t>School</t>
  </si>
  <si>
    <t>RMS</t>
  </si>
  <si>
    <t>Old Gym Renovation</t>
  </si>
  <si>
    <t>MISC</t>
  </si>
  <si>
    <t>Capital Repairs</t>
  </si>
  <si>
    <t>BES</t>
  </si>
  <si>
    <t>Project(s)</t>
  </si>
  <si>
    <t>Re-pave Basketball Area</t>
  </si>
  <si>
    <t>BHS</t>
  </si>
  <si>
    <t>New computer labs</t>
  </si>
  <si>
    <t>Convert Tennis Courts</t>
  </si>
  <si>
    <t>CTE Roof</t>
  </si>
  <si>
    <t>Shop Area Renovation</t>
  </si>
  <si>
    <t>BMS</t>
  </si>
  <si>
    <t>Gym/Locker Renovation</t>
  </si>
  <si>
    <t>RES</t>
  </si>
  <si>
    <t>Ceiling Tile Replacements</t>
  </si>
  <si>
    <t>RHS</t>
  </si>
  <si>
    <t>Additional Parking Lot Lights</t>
  </si>
  <si>
    <t>Replace Auditorium Seating</t>
  </si>
  <si>
    <t>Additional Parking</t>
  </si>
  <si>
    <t>Roof Replacement</t>
  </si>
  <si>
    <t>DRS</t>
  </si>
  <si>
    <t>SYS</t>
  </si>
  <si>
    <t>Computers</t>
  </si>
  <si>
    <t>School Board Priorities List</t>
  </si>
  <si>
    <t>Combi Oven</t>
  </si>
  <si>
    <t>PES</t>
  </si>
  <si>
    <t>Bathroom Tile Repairs</t>
  </si>
  <si>
    <t>Auditorium Upgrades</t>
  </si>
  <si>
    <t>Replace Gym Bleachers</t>
  </si>
  <si>
    <t>Repave Parking</t>
  </si>
  <si>
    <t>Kitchen Renovation</t>
  </si>
  <si>
    <t>New Greenhouse</t>
  </si>
  <si>
    <t>Convert Lock areas in rooms</t>
  </si>
  <si>
    <t>Build additional multimedia classrooms</t>
  </si>
  <si>
    <t>Fieldhouse Construction</t>
  </si>
  <si>
    <t xml:space="preserve">RHS </t>
  </si>
  <si>
    <t>Football Concession Stand</t>
  </si>
  <si>
    <t>Resurface Tennis Courts</t>
  </si>
  <si>
    <t>CTE Building</t>
  </si>
  <si>
    <t>Sidewalk to Upper Lot</t>
  </si>
  <si>
    <t>Alternate exit/access</t>
  </si>
  <si>
    <t>TCHES</t>
  </si>
  <si>
    <t>HVAC Repairs systemwide</t>
  </si>
  <si>
    <t>Fire alarm system</t>
  </si>
  <si>
    <t>Road and Parking Paving</t>
  </si>
  <si>
    <t>Enclose 3rd/4th Classrooms</t>
  </si>
  <si>
    <t>Multimedia Classrooms</t>
  </si>
  <si>
    <t>Phone System</t>
  </si>
  <si>
    <t>Campuswide Restroom Renovations</t>
  </si>
  <si>
    <t>Parking Lot Repaving</t>
  </si>
  <si>
    <t>Cafeteria/gym roof</t>
  </si>
  <si>
    <t>Gym PA system</t>
  </si>
  <si>
    <t>Baseball/softball concession stand</t>
  </si>
  <si>
    <t>Special needs roof</t>
  </si>
  <si>
    <t>CTE Air Handlers</t>
  </si>
  <si>
    <t>New Science Labs</t>
  </si>
  <si>
    <t>Oil Tank Repair</t>
  </si>
  <si>
    <t>Extend sidewalks</t>
  </si>
  <si>
    <t>Auditorium Roof</t>
  </si>
  <si>
    <t>Math and band wing restrooms</t>
  </si>
  <si>
    <t>Stadium artificial turf</t>
  </si>
  <si>
    <t>Switch parent/bus drop-off</t>
  </si>
  <si>
    <t>Carpets</t>
  </si>
  <si>
    <t>Access Control System</t>
  </si>
  <si>
    <t>Flat roof replacement</t>
  </si>
  <si>
    <t>Roof replacement</t>
  </si>
  <si>
    <t>Relocate Offices</t>
  </si>
  <si>
    <t>Fire alarms</t>
  </si>
  <si>
    <t>Re-roof shingled areas</t>
  </si>
  <si>
    <t>Repair exterior doors</t>
  </si>
  <si>
    <t>Football field lighting</t>
  </si>
  <si>
    <t>HVAC Replacements</t>
  </si>
  <si>
    <t>New Roof</t>
  </si>
  <si>
    <t>Band Uniforms</t>
  </si>
  <si>
    <t>Replace carpets</t>
  </si>
  <si>
    <t>Date</t>
  </si>
  <si>
    <t>Month 1 ADM</t>
  </si>
  <si>
    <t>Bond Issue</t>
  </si>
  <si>
    <t>Harnett</t>
  </si>
  <si>
    <t>Iredell</t>
  </si>
  <si>
    <t>New Hanover</t>
  </si>
  <si>
    <t>Durham</t>
  </si>
  <si>
    <t>Johnston</t>
  </si>
  <si>
    <t>Playground Equipment</t>
  </si>
  <si>
    <t>Additional parking</t>
  </si>
  <si>
    <t>Other Requests</t>
  </si>
  <si>
    <t>Replace CTE Air Handlers</t>
  </si>
  <si>
    <t>Telephone System</t>
  </si>
  <si>
    <t>Natural Gas Generator</t>
  </si>
  <si>
    <t>Campus Security Lighting</t>
  </si>
  <si>
    <t>Gym Renovation</t>
  </si>
  <si>
    <t>Bus Parking</t>
  </si>
  <si>
    <t>Moisture Problem</t>
  </si>
  <si>
    <t>Athletic Equipment</t>
  </si>
  <si>
    <t>Education Center Windows</t>
  </si>
  <si>
    <t>Repave Drive</t>
  </si>
  <si>
    <t>Repave parking</t>
  </si>
  <si>
    <t>New Gym Doors</t>
  </si>
  <si>
    <t>MEC</t>
  </si>
  <si>
    <t>Shop total roof replacement</t>
  </si>
  <si>
    <t>Systemwide cameras</t>
  </si>
  <si>
    <t>Smartboards</t>
  </si>
  <si>
    <t>HVAC Repairs</t>
  </si>
  <si>
    <t>Commercial Kitchen</t>
  </si>
  <si>
    <t>Campus Doors</t>
  </si>
  <si>
    <t>Kitchen Roof</t>
  </si>
  <si>
    <t>Retaining Wall</t>
  </si>
  <si>
    <t>Gym Roof replacement</t>
  </si>
  <si>
    <t>County Funding Levels</t>
  </si>
  <si>
    <t xml:space="preserve"> Total Fund Balance as % of Budget (8% stat. minimum)</t>
  </si>
  <si>
    <t>Unassigned Fund Balance as % of Budget</t>
  </si>
  <si>
    <t>Month 1 ADM is from NCDPI from the year of the academic year bond referendum</t>
  </si>
  <si>
    <t>School System Request in County Budget Docs</t>
  </si>
  <si>
    <t>Onslow</t>
  </si>
  <si>
    <t>Pender</t>
  </si>
  <si>
    <t>FY2017</t>
  </si>
  <si>
    <t>General Fund</t>
  </si>
  <si>
    <t>Fire Alarm System Upgrades</t>
  </si>
  <si>
    <t>DSS Building Energy Management System</t>
  </si>
  <si>
    <t>Community Services Building Security Camera System</t>
  </si>
  <si>
    <t>DSS Building Window Replacement</t>
  </si>
  <si>
    <t>Detention Center Security Equipment Replacement</t>
  </si>
  <si>
    <t>Detention Center Security Windows</t>
  </si>
  <si>
    <t>Construction of Half Walls in NALC</t>
  </si>
  <si>
    <t>Replacement of Classroom Flooring</t>
  </si>
  <si>
    <t>Concrete Animal Shelter Fenced Area</t>
  </si>
  <si>
    <t>PSF Parking Lot &amp; Road Repairs</t>
  </si>
  <si>
    <t>Connestee Falls Parking Lot Repair</t>
  </si>
  <si>
    <t>Signage for Rosman Community Park</t>
  </si>
  <si>
    <t>Bladen</t>
  </si>
  <si>
    <t>Annual Debt Service on Schools Only As Of FY2017</t>
  </si>
  <si>
    <t>Cooperative Extension Entry Door Replacement</t>
  </si>
  <si>
    <t>Child Development Additional Classrooms</t>
  </si>
  <si>
    <t>Parking Lot &amp; Road Repairs</t>
  </si>
  <si>
    <t>Maintenance Storage Building</t>
  </si>
  <si>
    <t>Replacement of tile flooring in CSB</t>
  </si>
  <si>
    <t>FY2010</t>
  </si>
  <si>
    <t>Sheriff's Office Roof Replacement</t>
  </si>
  <si>
    <t>FY2009</t>
  </si>
  <si>
    <t>Annual Total of Building and Land Improvements</t>
  </si>
  <si>
    <t>Courthouse Rock Wall Stabilization Project</t>
  </si>
  <si>
    <t>Courthouse Concrete Sidewalk</t>
  </si>
  <si>
    <t>Paving at Woodruff Landfill</t>
  </si>
  <si>
    <t>SW Fund</t>
  </si>
  <si>
    <t>FY2007</t>
  </si>
  <si>
    <t>Road Widening at Landfill</t>
  </si>
  <si>
    <t>Carpet Replacements</t>
  </si>
  <si>
    <t>Champion Park Pool Resurfacing</t>
  </si>
  <si>
    <t>Mortar Re-pointing at Courthouse</t>
  </si>
  <si>
    <t>FY2008</t>
  </si>
  <si>
    <t>Plant Operations</t>
  </si>
  <si>
    <t>Convert Tennis Courts to Parking</t>
  </si>
  <si>
    <t>County Funding Level in School System Document</t>
  </si>
  <si>
    <t>School System Request in FY2017 School System Document</t>
  </si>
  <si>
    <t>School System's "Cumulative Difference" from FY 2017 Document</t>
  </si>
  <si>
    <t>Final Appropriation</t>
  </si>
  <si>
    <t>Resurfacing Tennis Courts</t>
  </si>
  <si>
    <t>HVAC Replacement (Administration Roof)</t>
  </si>
  <si>
    <t>Cubicle Enclosures</t>
  </si>
  <si>
    <t>Parking Load and Road Repairs</t>
  </si>
  <si>
    <t>Rec Center playground</t>
  </si>
  <si>
    <t>Public Safety Facility Surge Protection</t>
  </si>
  <si>
    <t>DSS Gutter Replacements</t>
  </si>
  <si>
    <t>Jail Security Equipment</t>
  </si>
  <si>
    <t>DSS Window Replacements</t>
  </si>
  <si>
    <t>DSS/CSB Security System</t>
  </si>
  <si>
    <t>Transylvania County Building/Land Improvements Annual</t>
  </si>
  <si>
    <t>Courtroom Renovation</t>
  </si>
  <si>
    <t>Cell Tower</t>
  </si>
  <si>
    <t>Elections/Wellness Center Renovation Project</t>
  </si>
  <si>
    <t>Parking Lot Project</t>
  </si>
  <si>
    <t>General Fund Cost</t>
  </si>
  <si>
    <t>Other Sources</t>
  </si>
  <si>
    <t>Fund Balance</t>
  </si>
  <si>
    <t>PSF Facility Construction that occurred in FY2006 and prior</t>
  </si>
  <si>
    <t>Public Safety Facility Project</t>
  </si>
  <si>
    <t>Fiscal Year</t>
  </si>
  <si>
    <t>DISCREPANCY</t>
  </si>
  <si>
    <t>10 Year Average</t>
  </si>
  <si>
    <t>3 Yrs of PSF</t>
  </si>
  <si>
    <t>Sum</t>
  </si>
  <si>
    <t>Outlay MINUS PSF</t>
  </si>
  <si>
    <t>10 Yr Average Annual Expenditure w-PSF Expenses</t>
  </si>
  <si>
    <t>10 Yr Average Annual Expenditure - NO Public Safety Facility</t>
  </si>
  <si>
    <t>No Building/Land Improvements Recommended This Year in Budget</t>
  </si>
  <si>
    <t>Cumulative Difference Alleged By School System through FY16</t>
  </si>
  <si>
    <t>Cumulative Difference with Actual Revenues through FY16</t>
  </si>
  <si>
    <t>Installment Financing</t>
  </si>
  <si>
    <t>Most Recent Successful GDO Bond Referendum for Schools</t>
  </si>
  <si>
    <t>Renovations of Old Lib/Sheriff's Office Bldg</t>
  </si>
  <si>
    <t>Animal Shelter Construction</t>
  </si>
  <si>
    <t>Renovations of Old Lib/Old Sheriff's Office</t>
  </si>
  <si>
    <t>Financed Cost</t>
  </si>
  <si>
    <t>Health Department Renovation/Expansion</t>
  </si>
  <si>
    <t>FY2018</t>
  </si>
  <si>
    <t>Contracted Services</t>
  </si>
  <si>
    <t>- HVAC, Grass</t>
  </si>
  <si>
    <t>- Buildings</t>
  </si>
  <si>
    <t>- Equipment</t>
  </si>
  <si>
    <t>County Maintenance</t>
  </si>
  <si>
    <t>Supplies &amp; Materials - Maintenance</t>
  </si>
  <si>
    <t>Repair Parts - Bldg &amp; Equipment</t>
  </si>
  <si>
    <t>Salaries and Wages (8 positions)</t>
  </si>
  <si>
    <t>Retirement Benefits</t>
  </si>
  <si>
    <t>Medical Insurance</t>
  </si>
  <si>
    <t>FICA</t>
  </si>
  <si>
    <t>- Pest Control</t>
  </si>
  <si>
    <t>- Elevators</t>
  </si>
  <si>
    <t>- Security Area Maintenance (PSF)</t>
  </si>
  <si>
    <t>- Boiler/Chiller Service</t>
  </si>
  <si>
    <t>- Other Contracts</t>
  </si>
  <si>
    <t>Total of Salaries/Fringe</t>
  </si>
  <si>
    <t>- Fire Alarms / Security Alarms</t>
  </si>
  <si>
    <t>Equipment Maintenance</t>
  </si>
  <si>
    <t>Operating Supplies</t>
  </si>
  <si>
    <t>Tools</t>
  </si>
  <si>
    <t>Equipment Rental</t>
  </si>
  <si>
    <t>Building / Grounds Maintenance</t>
  </si>
  <si>
    <t>3 yr average</t>
  </si>
  <si>
    <t>- Other</t>
  </si>
  <si>
    <t>Capital Request Category I</t>
  </si>
  <si>
    <t>Capital Request Category II</t>
  </si>
  <si>
    <t>Replace Gym Floor</t>
  </si>
  <si>
    <t>FY2006</t>
  </si>
  <si>
    <t>Paving Soccer Lot</t>
  </si>
  <si>
    <t>Outdoor Security Cameras</t>
  </si>
  <si>
    <t>Stadium Renovations</t>
  </si>
  <si>
    <t>FY2005</t>
  </si>
  <si>
    <t>Replace Rusted Doors</t>
  </si>
  <si>
    <t>Replace Classroom Carpet</t>
  </si>
  <si>
    <t>Concessions/Restrooms</t>
  </si>
  <si>
    <t>FY2004</t>
  </si>
  <si>
    <t>Front Wing Renovation</t>
  </si>
  <si>
    <t>FY2003</t>
  </si>
  <si>
    <t>Renovations/Additions</t>
  </si>
  <si>
    <t>Computer Lab Equipment</t>
  </si>
  <si>
    <t>Computer Lab Additions (2)</t>
  </si>
  <si>
    <t>Auditorium Roof/Gutters</t>
  </si>
  <si>
    <t>Fund Balance + Installment Financing</t>
  </si>
  <si>
    <t>Fund Balance + Donations</t>
  </si>
  <si>
    <t>Variance btwn Request and Funding Level</t>
  </si>
  <si>
    <t>HVAC Repair systemwide</t>
  </si>
  <si>
    <t>Football Field Lightning</t>
  </si>
  <si>
    <t>Capital Outlay FY2017</t>
  </si>
  <si>
    <t>Annual Capital Outlay Per ADM</t>
  </si>
  <si>
    <t>Total Expense Per ADM (H by E)</t>
  </si>
  <si>
    <t>M-1 ADM FY2017</t>
  </si>
  <si>
    <t>Total FY 2017 Local Budget (Current Expense + Capital)</t>
  </si>
  <si>
    <t>Current Expense Per ADM  (FY2017)</t>
  </si>
  <si>
    <t xml:space="preserve"> Facility Needs Per ADM (G divided by E)</t>
  </si>
  <si>
    <t>Facility Needs by Number of Facilities</t>
  </si>
  <si>
    <t>65-160 Million Dollar Bond Referenda</t>
  </si>
  <si>
    <t>Salaries and Wages (5 ft + some pt)</t>
  </si>
  <si>
    <t>Per ADM</t>
  </si>
  <si>
    <t xml:space="preserve">Transylvania </t>
  </si>
  <si>
    <t>Proposed</t>
  </si>
  <si>
    <t>Finance Method</t>
  </si>
  <si>
    <t>Additional/Emergency Appropriations</t>
  </si>
  <si>
    <t>FY2016 Total Expenditures</t>
  </si>
  <si>
    <t>FY2016 Total Expenses comes from the Comprehensive Financial Documents for each School System. FY2016 was used as not all school systems have published their FY17 CAFR yet.</t>
  </si>
  <si>
    <t>NCDPI Data: Self-Reported Facility Needs, Bond Dates, Debt Issuances and Month-1 ADM, Test Score Rank Score and Score for FY2017</t>
  </si>
  <si>
    <t>Notes:</t>
  </si>
  <si>
    <t>Current Expense Per ADM, Annual Capital Outlay for FY2017, Charter School Percentage, Most Recent School Construction, Total Debt Service on Schools Only,  comes from the NCACC Budget and Tax Survey 2016-2017</t>
  </si>
  <si>
    <t>Figures in this color are calculated within the spreadsheet.</t>
  </si>
  <si>
    <t>Annual Debt Service on Schools by Number of Facilities</t>
  </si>
  <si>
    <t>Annual Debt Service by ADM</t>
  </si>
  <si>
    <t>Extend Canopies</t>
  </si>
  <si>
    <t>PSBC Funds Utilized (Lottery)</t>
  </si>
  <si>
    <t>Cumulative Difference btwn Requests and All Revenues</t>
  </si>
  <si>
    <t>Revenues (Sales Taxes, Grants, Donations, Misc)</t>
  </si>
  <si>
    <t>ADM to Schools Ratio</t>
  </si>
  <si>
    <t>HVAC - Education Center</t>
  </si>
  <si>
    <t>HVAC Renovation - Kitchen</t>
  </si>
  <si>
    <t>School System Capital Outlay Fund Reduction</t>
  </si>
  <si>
    <t>Transylvania County's FY2016 CAFR</t>
  </si>
  <si>
    <t>Total Expense By # of Schools</t>
  </si>
  <si>
    <t>Reserved</t>
  </si>
  <si>
    <t>Designated</t>
  </si>
  <si>
    <t>Unreserved and Undesignated</t>
  </si>
  <si>
    <t>FY2016 Federal Grant Revenues</t>
  </si>
  <si>
    <t>FY2016 State Public School Fund Revenues</t>
  </si>
  <si>
    <t>FY2016 Federal Grant Fund by ADM</t>
  </si>
  <si>
    <t>FY 2016 State Public School Fund Revenues by ADM</t>
  </si>
  <si>
    <t>Rank out of 200 (2017)</t>
  </si>
  <si>
    <t>Cumulative Difference with Fund Balance Spenddown Included</t>
  </si>
  <si>
    <t>Ashe</t>
  </si>
  <si>
    <t>Greene</t>
  </si>
  <si>
    <t>Martin</t>
  </si>
  <si>
    <t>Anson</t>
  </si>
  <si>
    <t>Cherokee</t>
  </si>
  <si>
    <t>School System Comparison</t>
  </si>
  <si>
    <t>-</t>
  </si>
  <si>
    <t># of Schools</t>
  </si>
  <si>
    <t>Bond Referenda in last 5 years?</t>
  </si>
  <si>
    <t>no</t>
  </si>
  <si>
    <t>no (prev. 2005)</t>
  </si>
  <si>
    <t>no (prev. 2007)</t>
  </si>
  <si>
    <t>Bond Issue by # of Schools</t>
  </si>
  <si>
    <t>Wake</t>
  </si>
  <si>
    <t>Immediate Prior Bond Referendum (if applicable) post 1995</t>
  </si>
  <si>
    <t>Large Urban</t>
  </si>
  <si>
    <t>Tyrrell</t>
  </si>
  <si>
    <t>Small Rural</t>
  </si>
  <si>
    <t>Hyde</t>
  </si>
  <si>
    <t>Mecklenburg</t>
  </si>
  <si>
    <t>Total Current Expense+Cap Per '17 M1 ADM</t>
  </si>
  <si>
    <t>FY2017 Annual Capital Outlay per Facility</t>
  </si>
  <si>
    <t>Economic Comparison / School System</t>
  </si>
  <si>
    <t>Neighbor / Economic Comparison</t>
  </si>
  <si>
    <t>** ADD comparison NCDoR to likesize counties</t>
  </si>
  <si>
    <t>Article 46 Referendum Successful?</t>
  </si>
  <si>
    <t>Purpose of Article 46 Referendum</t>
  </si>
  <si>
    <t>Yes</t>
  </si>
  <si>
    <t>Local Budget By # of Schools</t>
  </si>
  <si>
    <t>Urban / Neighbor</t>
  </si>
  <si>
    <t>Assessed Value FY17</t>
  </si>
  <si>
    <t>Property Tax Rate FY17 (per $100)</t>
  </si>
  <si>
    <t>Assessed Valuation by ADM</t>
  </si>
  <si>
    <t>Assessed Valuation by Number of Schools</t>
  </si>
  <si>
    <t>*</t>
  </si>
  <si>
    <t>No</t>
  </si>
  <si>
    <t>EMS</t>
  </si>
  <si>
    <t>3 Years for Hospital, then Education</t>
  </si>
  <si>
    <t>Community College Capital Needs</t>
  </si>
  <si>
    <t>Not Attempted</t>
  </si>
  <si>
    <t>School Funding</t>
  </si>
  <si>
    <t>School Facility Maintenance</t>
  </si>
  <si>
    <t>County-wide Capital Needs</t>
  </si>
  <si>
    <t>Projects with a Cost Exceeding Approx. $25,000 (where possible, items highlighted are duplicates)</t>
  </si>
  <si>
    <t>For Buncombe County, as it has two LEA's, I add together the BCS and AVL City School data from NCDPI and their financial statements. The resulting added totals did not appear to be inconsistent with totals in other urban areas.</t>
  </si>
  <si>
    <t>Expenditure Tied To A Project Ordinance (not reflected in annual budgets)</t>
  </si>
  <si>
    <t>School Ranking includes some charter institutions, the NCDPI published dataset made it difficult to sort rankings, so we opted to allow inclusion of charters.</t>
  </si>
  <si>
    <t>1. Comparisons Across LEAs</t>
  </si>
  <si>
    <t>2. Comparisons Across LEAs 2</t>
  </si>
  <si>
    <t>In this spreadsheet, you will see the benchmarking of data across several communities - comparing against other communities. Major data points compared here are total expenses by school systems, annual capital appropriations, NCDPI Facility Needs Surveys, borrowing behaviors for schools and total number of schools.</t>
  </si>
  <si>
    <t>In this spreadsheet, you will find supplemental data requested by other parties during the research process. This page captures property tax rates on the County-side in these communities, assessed valuation (scaled by number of students and number of schools), as well as the purpose and result of Article 46 (quarter cent sales tax) referenda in all relevant communities.</t>
  </si>
  <si>
    <t>3. School System Cap Finance Cover Sheet</t>
  </si>
  <si>
    <t>This image is of an attachment made to the Transylvania County Schools' budget request during the FY2017 County Budget cycle. It alleges 5.3 million in unfunded needs since FY2005.</t>
  </si>
  <si>
    <t>4. School System Cap Summary</t>
  </si>
  <si>
    <t>5. School Capital Request History</t>
  </si>
  <si>
    <t>6. County Capital History</t>
  </si>
  <si>
    <t>7. Annual Maintenance Comparison</t>
  </si>
  <si>
    <t>8. Comparable Bond Issues</t>
  </si>
  <si>
    <t>9. County Fund Balance</t>
  </si>
  <si>
    <t>This spreadsheet collects data about capital investment requests made by Transylvania County Schools since FY2003, county funding levels, Public School Building Capital Funds (Lottery), and other revenue sources for School System Capital Needs. On the far left, in grey, the original document is translated - then it builds out to the right.</t>
  </si>
  <si>
    <t>Here, we attempted to track all project requests made by the school system that totaled more than $25,000 over the time frame. We attempted to track projects that appeared across multiple years in order to see if they were multi-year projects or deferred due to lack of funding. It was difficult to discern whether or not they were repeats projects or not. This is one example of room for improved communication.</t>
  </si>
  <si>
    <t>This details Transylvania County Government's building and land improvements since FY2007, as well as the method of financing. Some projects, such as the Animal Shelter, had other sources of funding to support their construction (ex. The animal shelter was constructed with both private dollars and a contribution from the City of Brevard) and so the total amount of those contributions is subtracted from the whole. As you can see, the County financed very little of its building and land improvements since FY2007.</t>
  </si>
  <si>
    <t>This compares, where possible, the budgets between Transylvania County Schools Plant Operations and the budget for the Transylvania County Maintenance Department.</t>
  </si>
  <si>
    <t>While the School System has not settled on a total for funds it hopes to seek in a potential bond referendum, one number that been previously circulated is the number of 93 million. I compared it to bond referenda from other communities through information available on an NCDPI website.</t>
  </si>
  <si>
    <t>This is a history of the County Government's fund balance and what parts of it are assigned, committed, restricted or unassigned over the past several years.</t>
  </si>
  <si>
    <t>NCDPI Websites</t>
  </si>
  <si>
    <t>School Clearing House Publications</t>
  </si>
  <si>
    <t>NCDPI Student Accounting</t>
  </si>
  <si>
    <t>North Carolina Association of County Commissioners Budget and Tax Surveys</t>
  </si>
  <si>
    <t>Budget and Tax Survey Website</t>
  </si>
  <si>
    <t>The Public Safety Building, given its unique use (and inability to be repurposed for other uses given specialized construction) is excluded from this analysis. Removing this removes the only project that stretched across several years during this period, and there is no equivalent project to compare it to in the school system (the School System capital requests did not include any proposals to construct a new school facility). Only by removing the Public Safety Building can you make a strict comparison between the renovation and improvement of existing facilities between the school system and the County Government over the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</si>
</sst>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164" formatCode="&quot;$&quot;#,##0.00"/>
    <numFmt numFmtId="165" formatCode="0.000"/>
    <numFmt numFmtId="166" formatCode="0.0"/>
    <numFmt numFmtId="167" formatCode="0.0000"/>
  </numFmts>
  <fonts count="40" x14ac:knownFonts="1">
    <font>
      <sz val="11"/>
      <color theme="1"/>
      <name val="Calibri"/>
      <family val="2"/>
      <scheme val="minor"/>
    </font>
    <font>
      <sz val="11"/>
      <color theme="1"/>
      <name val="Calibri"/>
      <family val="2"/>
      <scheme val="minor"/>
    </font>
    <font>
      <sz val="10"/>
      <name val="Arial"/>
      <family val="2"/>
    </font>
    <font>
      <b/>
      <sz val="10"/>
      <name val="Arial"/>
      <family val="2"/>
    </font>
    <font>
      <i/>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4" tint="-0.249977111117893"/>
      <name val="Calibri"/>
      <family val="2"/>
      <scheme val="minor"/>
    </font>
    <font>
      <b/>
      <sz val="11"/>
      <name val="Calibri"/>
      <family val="2"/>
      <scheme val="minor"/>
    </font>
    <font>
      <sz val="9"/>
      <color indexed="81"/>
      <name val="Tahoma"/>
      <family val="2"/>
    </font>
    <font>
      <b/>
      <sz val="9"/>
      <color indexed="81"/>
      <name val="Tahoma"/>
      <family val="2"/>
    </font>
    <font>
      <b/>
      <i/>
      <sz val="11"/>
      <color theme="1"/>
      <name val="Calibri"/>
      <family val="2"/>
      <scheme val="minor"/>
    </font>
    <font>
      <sz val="9"/>
      <color theme="1"/>
      <name val="Calibri"/>
      <family val="2"/>
      <scheme val="minor"/>
    </font>
    <font>
      <b/>
      <i/>
      <sz val="9"/>
      <color theme="1"/>
      <name val="Calibri"/>
      <family val="2"/>
      <scheme val="minor"/>
    </font>
    <font>
      <b/>
      <sz val="9"/>
      <color theme="1"/>
      <name val="Calibri"/>
      <family val="2"/>
      <scheme val="minor"/>
    </font>
    <font>
      <sz val="12"/>
      <color theme="1"/>
      <name val="Calibri"/>
      <family val="2"/>
      <scheme val="minor"/>
    </font>
    <font>
      <sz val="12"/>
      <name val="Calibri"/>
      <family val="2"/>
      <scheme val="minor"/>
    </font>
    <font>
      <b/>
      <sz val="11"/>
      <color theme="3"/>
      <name val="Calibri"/>
      <family val="2"/>
      <scheme val="minor"/>
    </font>
    <font>
      <b/>
      <sz val="11"/>
      <color theme="4"/>
      <name val="Calibri"/>
      <family val="2"/>
      <scheme val="minor"/>
    </font>
    <font>
      <b/>
      <sz val="11"/>
      <color theme="5"/>
      <name val="Calibri"/>
      <family val="2"/>
      <scheme val="minor"/>
    </font>
    <font>
      <b/>
      <sz val="11"/>
      <color theme="7"/>
      <name val="Calibri"/>
      <family val="2"/>
      <scheme val="minor"/>
    </font>
    <font>
      <b/>
      <sz val="11"/>
      <color theme="9"/>
      <name val="Calibri"/>
      <family val="2"/>
      <scheme val="minor"/>
    </font>
    <font>
      <b/>
      <sz val="11"/>
      <color theme="0" tint="-0.499984740745262"/>
      <name val="Calibri"/>
      <family val="2"/>
      <scheme val="minor"/>
    </font>
    <font>
      <sz val="12"/>
      <color rgb="FF0070C0"/>
      <name val="Calibri"/>
      <family val="2"/>
      <scheme val="minor"/>
    </font>
    <font>
      <b/>
      <sz val="11"/>
      <color rgb="FFFFC000"/>
      <name val="Calibri"/>
      <family val="2"/>
      <scheme val="minor"/>
    </font>
    <font>
      <i/>
      <sz val="12"/>
      <name val="Calibri"/>
      <family val="2"/>
      <scheme val="minor"/>
    </font>
    <font>
      <i/>
      <sz val="12"/>
      <color theme="1"/>
      <name val="Calibri"/>
      <family val="2"/>
      <scheme val="minor"/>
    </font>
    <font>
      <sz val="10"/>
      <name val="Calibri"/>
      <family val="2"/>
      <scheme val="minor"/>
    </font>
    <font>
      <sz val="12"/>
      <color theme="4" tint="-0.249977111117893"/>
      <name val="Calibri"/>
      <family val="2"/>
      <scheme val="minor"/>
    </font>
    <font>
      <b/>
      <i/>
      <sz val="11"/>
      <name val="Calibri"/>
      <family val="2"/>
      <scheme val="minor"/>
    </font>
    <font>
      <i/>
      <u/>
      <sz val="11"/>
      <color theme="1"/>
      <name val="Calibri"/>
      <family val="2"/>
      <scheme val="minor"/>
    </font>
    <font>
      <strike/>
      <sz val="11"/>
      <color theme="1"/>
      <name val="Calibri"/>
      <family val="2"/>
      <scheme val="minor"/>
    </font>
    <font>
      <sz val="10"/>
      <name val="Arial"/>
      <family val="2"/>
    </font>
    <font>
      <b/>
      <sz val="11"/>
      <color theme="0"/>
      <name val="Calibri"/>
      <family val="2"/>
      <scheme val="minor"/>
    </font>
    <font>
      <b/>
      <sz val="11"/>
      <color rgb="FF92D050"/>
      <name val="Calibri"/>
      <family val="2"/>
      <scheme val="minor"/>
    </font>
    <font>
      <b/>
      <sz val="11"/>
      <color theme="0" tint="-0.34998626667073579"/>
      <name val="Calibri"/>
      <family val="2"/>
      <scheme val="minor"/>
    </font>
    <font>
      <sz val="11"/>
      <color rgb="FF9C6500"/>
      <name val="Calibri"/>
      <family val="2"/>
      <scheme val="minor"/>
    </font>
    <font>
      <b/>
      <sz val="11"/>
      <color rgb="FF0070C0"/>
      <name val="Calibri"/>
      <family val="2"/>
      <scheme val="minor"/>
    </font>
    <font>
      <u/>
      <sz val="11"/>
      <color theme="1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EB9C"/>
      </patternFill>
    </fill>
  </fills>
  <borders count="30">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37" fillId="13" borderId="0" applyNumberFormat="0" applyBorder="0" applyAlignment="0" applyProtection="0"/>
    <xf numFmtId="0" fontId="39" fillId="0" borderId="0" applyNumberFormat="0" applyFill="0" applyBorder="0" applyAlignment="0" applyProtection="0"/>
  </cellStyleXfs>
  <cellXfs count="280">
    <xf numFmtId="0" fontId="0" fillId="0" borderId="0" xfId="0"/>
    <xf numFmtId="0" fontId="3" fillId="0" borderId="0" xfId="0" applyFont="1" applyFill="1" applyBorder="1" applyAlignment="1">
      <alignment horizontal="center"/>
    </xf>
    <xf numFmtId="0" fontId="4" fillId="0" borderId="0" xfId="0" applyFont="1"/>
    <xf numFmtId="164" fontId="0" fillId="0" borderId="0" xfId="0" applyNumberFormat="1"/>
    <xf numFmtId="0" fontId="3" fillId="0" borderId="0" xfId="0" applyFont="1" applyFill="1" applyBorder="1" applyAlignment="1"/>
    <xf numFmtId="0" fontId="3" fillId="0" borderId="0" xfId="0" applyFont="1" applyFill="1" applyBorder="1" applyAlignment="1">
      <alignment vertical="center" wrapText="1"/>
    </xf>
    <xf numFmtId="0" fontId="0" fillId="0" borderId="0" xfId="0" applyFill="1"/>
    <xf numFmtId="0" fontId="5" fillId="0" borderId="0" xfId="0" applyFont="1"/>
    <xf numFmtId="165" fontId="0" fillId="0" borderId="0" xfId="0" applyNumberFormat="1"/>
    <xf numFmtId="44" fontId="0" fillId="0" borderId="0" xfId="0" applyNumberFormat="1"/>
    <xf numFmtId="0" fontId="0" fillId="0" borderId="12" xfId="0" applyFont="1" applyBorder="1"/>
    <xf numFmtId="41" fontId="2" fillId="0" borderId="0" xfId="0" applyNumberFormat="1" applyFont="1"/>
    <xf numFmtId="164" fontId="0" fillId="0" borderId="0" xfId="0" applyNumberFormat="1" applyAlignment="1">
      <alignment horizontal="right"/>
    </xf>
    <xf numFmtId="0" fontId="0" fillId="0" borderId="0" xfId="0" applyAlignment="1">
      <alignment horizontal="right"/>
    </xf>
    <xf numFmtId="14" fontId="0" fillId="0" borderId="0" xfId="0" applyNumberFormat="1"/>
    <xf numFmtId="44" fontId="0" fillId="0" borderId="0" xfId="0" applyNumberFormat="1" applyFill="1"/>
    <xf numFmtId="164" fontId="0" fillId="0" borderId="0" xfId="0" applyNumberFormat="1" applyFill="1"/>
    <xf numFmtId="10" fontId="0" fillId="0" borderId="0" xfId="0" applyNumberFormat="1"/>
    <xf numFmtId="0" fontId="0" fillId="0" borderId="10" xfId="0" applyFont="1" applyBorder="1"/>
    <xf numFmtId="3" fontId="0" fillId="0" borderId="0" xfId="0" applyNumberFormat="1"/>
    <xf numFmtId="44" fontId="7" fillId="0" borderId="3" xfId="0" applyNumberFormat="1" applyFont="1" applyFill="1" applyBorder="1" applyAlignment="1">
      <alignment horizontal="center" wrapText="1"/>
    </xf>
    <xf numFmtId="44" fontId="5" fillId="0" borderId="0" xfId="0" applyNumberFormat="1" applyFont="1"/>
    <xf numFmtId="0" fontId="9" fillId="0" borderId="2" xfId="0" applyFont="1" applyFill="1" applyBorder="1" applyAlignment="1">
      <alignment horizontal="center" wrapText="1"/>
    </xf>
    <xf numFmtId="0" fontId="0" fillId="0" borderId="2" xfId="0" applyBorder="1"/>
    <xf numFmtId="0" fontId="0" fillId="0" borderId="8" xfId="0" applyBorder="1"/>
    <xf numFmtId="164" fontId="0" fillId="0" borderId="0" xfId="0" applyNumberFormat="1" applyFill="1" applyAlignment="1">
      <alignment horizontal="right"/>
    </xf>
    <xf numFmtId="44" fontId="0" fillId="0" borderId="8" xfId="0" applyNumberFormat="1" applyBorder="1"/>
    <xf numFmtId="44" fontId="0" fillId="0" borderId="2" xfId="0" applyNumberFormat="1" applyBorder="1"/>
    <xf numFmtId="1" fontId="0" fillId="0" borderId="0" xfId="0" applyNumberFormat="1"/>
    <xf numFmtId="0" fontId="0" fillId="0" borderId="0" xfId="0" applyBorder="1"/>
    <xf numFmtId="44" fontId="0" fillId="0" borderId="0" xfId="0" applyNumberFormat="1" applyBorder="1"/>
    <xf numFmtId="0" fontId="0" fillId="0" borderId="0" xfId="0" applyFill="1" applyBorder="1"/>
    <xf numFmtId="44" fontId="0" fillId="0" borderId="0" xfId="0" applyNumberFormat="1" applyFill="1" applyBorder="1"/>
    <xf numFmtId="0" fontId="0" fillId="0" borderId="2" xfId="0" applyFill="1" applyBorder="1"/>
    <xf numFmtId="0" fontId="0" fillId="0" borderId="8" xfId="0" applyFill="1" applyBorder="1"/>
    <xf numFmtId="44" fontId="0" fillId="0" borderId="8" xfId="0" applyNumberFormat="1" applyFill="1" applyBorder="1"/>
    <xf numFmtId="0" fontId="0" fillId="6" borderId="2" xfId="0" applyFill="1" applyBorder="1"/>
    <xf numFmtId="44" fontId="0" fillId="6" borderId="2" xfId="0" applyNumberFormat="1" applyFill="1" applyBorder="1"/>
    <xf numFmtId="0" fontId="0" fillId="3" borderId="0" xfId="0" applyFill="1"/>
    <xf numFmtId="44" fontId="0" fillId="3" borderId="0" xfId="0" applyNumberFormat="1" applyFill="1"/>
    <xf numFmtId="0" fontId="5" fillId="3" borderId="0" xfId="0" applyFont="1" applyFill="1"/>
    <xf numFmtId="0" fontId="5" fillId="7" borderId="0" xfId="0" applyFont="1" applyFill="1"/>
    <xf numFmtId="0" fontId="0" fillId="0" borderId="0" xfId="0" applyAlignment="1">
      <alignment horizontal="left"/>
    </xf>
    <xf numFmtId="0" fontId="5" fillId="0" borderId="0" xfId="0" applyFont="1" applyAlignment="1">
      <alignment horizontal="right"/>
    </xf>
    <xf numFmtId="0" fontId="5" fillId="0" borderId="0" xfId="0" applyFont="1" applyAlignment="1">
      <alignment horizontal="left"/>
    </xf>
    <xf numFmtId="44" fontId="0" fillId="3" borderId="0" xfId="0" applyNumberFormat="1" applyFill="1" applyBorder="1"/>
    <xf numFmtId="44" fontId="0" fillId="3" borderId="8" xfId="0" applyNumberFormat="1" applyFill="1" applyBorder="1"/>
    <xf numFmtId="44" fontId="0" fillId="6" borderId="11" xfId="0" applyNumberFormat="1" applyFill="1" applyBorder="1"/>
    <xf numFmtId="0" fontId="5" fillId="8" borderId="0" xfId="0" applyFont="1" applyFill="1" applyAlignment="1">
      <alignment horizontal="right"/>
    </xf>
    <xf numFmtId="44" fontId="12" fillId="8" borderId="0" xfId="0" applyNumberFormat="1" applyFont="1" applyFill="1"/>
    <xf numFmtId="0" fontId="12" fillId="0" borderId="0" xfId="0" applyFont="1"/>
    <xf numFmtId="0" fontId="5" fillId="0" borderId="0" xfId="0" applyFont="1" applyFill="1"/>
    <xf numFmtId="0" fontId="13" fillId="0" borderId="0" xfId="0" applyFont="1"/>
    <xf numFmtId="44" fontId="14" fillId="0" borderId="0" xfId="0" applyNumberFormat="1" applyFont="1"/>
    <xf numFmtId="0" fontId="14" fillId="0" borderId="4" xfId="0" applyFont="1" applyBorder="1"/>
    <xf numFmtId="44" fontId="13" fillId="0" borderId="0" xfId="0" applyNumberFormat="1" applyFont="1"/>
    <xf numFmtId="0" fontId="13" fillId="0" borderId="4" xfId="0" applyFont="1" applyBorder="1"/>
    <xf numFmtId="0" fontId="15" fillId="0" borderId="4" xfId="0" applyFont="1" applyBorder="1"/>
    <xf numFmtId="44" fontId="15" fillId="0" borderId="0" xfId="0" applyNumberFormat="1" applyFont="1"/>
    <xf numFmtId="44" fontId="13" fillId="0" borderId="0" xfId="0" applyNumberFormat="1" applyFont="1" applyFill="1" applyBorder="1"/>
    <xf numFmtId="0" fontId="15" fillId="0" borderId="0" xfId="0" applyFont="1"/>
    <xf numFmtId="0" fontId="13" fillId="0" borderId="0" xfId="0" quotePrefix="1" applyFont="1"/>
    <xf numFmtId="0" fontId="13" fillId="0" borderId="4" xfId="0" quotePrefix="1" applyFont="1" applyBorder="1"/>
    <xf numFmtId="10" fontId="13" fillId="0" borderId="0" xfId="0" applyNumberFormat="1" applyFont="1"/>
    <xf numFmtId="0" fontId="0" fillId="0" borderId="0" xfId="0" applyAlignment="1">
      <alignment horizontal="center"/>
    </xf>
    <xf numFmtId="49" fontId="16" fillId="0" borderId="9" xfId="0" applyNumberFormat="1" applyFont="1" applyBorder="1" applyAlignment="1">
      <alignment horizontal="center"/>
    </xf>
    <xf numFmtId="44" fontId="16" fillId="9" borderId="7" xfId="0" applyNumberFormat="1" applyFont="1" applyFill="1" applyBorder="1" applyAlignment="1">
      <alignment horizontal="right"/>
    </xf>
    <xf numFmtId="44" fontId="16" fillId="9" borderId="10" xfId="0" applyNumberFormat="1" applyFont="1" applyFill="1" applyBorder="1" applyAlignment="1">
      <alignment horizontal="right"/>
    </xf>
    <xf numFmtId="44" fontId="17" fillId="9" borderId="10" xfId="0" applyNumberFormat="1" applyFont="1" applyFill="1" applyBorder="1" applyAlignment="1">
      <alignment horizontal="right"/>
    </xf>
    <xf numFmtId="44" fontId="16" fillId="9" borderId="10" xfId="0" applyNumberFormat="1" applyFont="1" applyFill="1" applyBorder="1" applyAlignment="1"/>
    <xf numFmtId="0" fontId="17" fillId="0" borderId="10" xfId="0" quotePrefix="1" applyFont="1" applyFill="1" applyBorder="1" applyAlignment="1">
      <alignment horizontal="center"/>
    </xf>
    <xf numFmtId="44" fontId="17" fillId="5" borderId="10" xfId="0" applyNumberFormat="1" applyFont="1" applyFill="1" applyBorder="1" applyAlignment="1">
      <alignment horizontal="right"/>
    </xf>
    <xf numFmtId="44" fontId="16" fillId="5" borderId="10" xfId="0" applyNumberFormat="1" applyFont="1" applyFill="1" applyBorder="1" applyAlignment="1"/>
    <xf numFmtId="44" fontId="16" fillId="0" borderId="10" xfId="0" applyNumberFormat="1" applyFont="1" applyBorder="1" applyAlignment="1"/>
    <xf numFmtId="44" fontId="17" fillId="0" borderId="10" xfId="0" applyNumberFormat="1" applyFont="1" applyFill="1" applyBorder="1" applyAlignment="1">
      <alignment horizontal="right"/>
    </xf>
    <xf numFmtId="44" fontId="16" fillId="4" borderId="10" xfId="0" applyNumberFormat="1" applyFont="1" applyFill="1" applyBorder="1" applyAlignment="1"/>
    <xf numFmtId="44" fontId="16" fillId="0" borderId="10" xfId="0" applyNumberFormat="1" applyFont="1" applyFill="1" applyBorder="1" applyAlignment="1"/>
    <xf numFmtId="0" fontId="17" fillId="0" borderId="10" xfId="0" quotePrefix="1" applyFont="1" applyFill="1" applyBorder="1" applyAlignment="1">
      <alignment horizontal="center" wrapText="1"/>
    </xf>
    <xf numFmtId="44" fontId="17" fillId="5" borderId="1" xfId="0" applyNumberFormat="1" applyFont="1" applyFill="1" applyBorder="1" applyAlignment="1">
      <alignment horizontal="right"/>
    </xf>
    <xf numFmtId="44" fontId="16" fillId="5" borderId="20" xfId="0" applyNumberFormat="1" applyFont="1" applyFill="1" applyBorder="1" applyAlignment="1"/>
    <xf numFmtId="44" fontId="17" fillId="5" borderId="12" xfId="0" applyNumberFormat="1" applyFont="1" applyFill="1" applyBorder="1" applyAlignment="1">
      <alignment horizontal="right"/>
    </xf>
    <xf numFmtId="44" fontId="16" fillId="0" borderId="19" xfId="0" applyNumberFormat="1" applyFont="1" applyBorder="1" applyAlignment="1"/>
    <xf numFmtId="44" fontId="16" fillId="0" borderId="10" xfId="0" applyNumberFormat="1" applyFont="1" applyFill="1" applyBorder="1"/>
    <xf numFmtId="44" fontId="17" fillId="0" borderId="12" xfId="0" applyNumberFormat="1" applyFont="1" applyFill="1" applyBorder="1" applyAlignment="1">
      <alignment horizontal="right"/>
    </xf>
    <xf numFmtId="44" fontId="16" fillId="0" borderId="10" xfId="0" applyNumberFormat="1" applyFont="1" applyBorder="1"/>
    <xf numFmtId="44" fontId="2" fillId="0" borderId="0" xfId="0" applyNumberFormat="1" applyFont="1"/>
    <xf numFmtId="0" fontId="0" fillId="0" borderId="0" xfId="0" applyFont="1"/>
    <xf numFmtId="0" fontId="0" fillId="11" borderId="0" xfId="0" applyFill="1"/>
    <xf numFmtId="41" fontId="0" fillId="11" borderId="0" xfId="0" applyNumberFormat="1" applyFill="1"/>
    <xf numFmtId="44" fontId="0" fillId="11" borderId="0" xfId="0" applyNumberFormat="1" applyFill="1"/>
    <xf numFmtId="0" fontId="0" fillId="11" borderId="0" xfId="0" applyFill="1" applyAlignment="1">
      <alignment horizontal="right"/>
    </xf>
    <xf numFmtId="0" fontId="19" fillId="0" borderId="0" xfId="0" applyFont="1"/>
    <xf numFmtId="0" fontId="20" fillId="0" borderId="0" xfId="0" applyFont="1"/>
    <xf numFmtId="0" fontId="22" fillId="0" borderId="0" xfId="0" applyFont="1"/>
    <xf numFmtId="0" fontId="18" fillId="0" borderId="0" xfId="0" applyFont="1" applyFill="1"/>
    <xf numFmtId="0" fontId="23" fillId="0" borderId="0" xfId="0" applyFont="1" applyFill="1"/>
    <xf numFmtId="44" fontId="16" fillId="0" borderId="12" xfId="0" applyNumberFormat="1" applyFont="1" applyFill="1" applyBorder="1" applyAlignment="1"/>
    <xf numFmtId="44" fontId="24" fillId="9" borderId="10" xfId="0" applyNumberFormat="1" applyFont="1" applyFill="1" applyBorder="1" applyAlignment="1">
      <alignment horizontal="right"/>
    </xf>
    <xf numFmtId="44" fontId="24" fillId="0" borderId="10" xfId="0" applyNumberFormat="1" applyFont="1" applyFill="1" applyBorder="1" applyAlignment="1">
      <alignment horizontal="right"/>
    </xf>
    <xf numFmtId="44" fontId="16" fillId="0" borderId="7" xfId="0" applyNumberFormat="1" applyFont="1" applyFill="1" applyBorder="1" applyAlignment="1">
      <alignment horizontal="right"/>
    </xf>
    <xf numFmtId="44" fontId="16" fillId="0" borderId="10" xfId="0" applyNumberFormat="1" applyFont="1" applyFill="1" applyBorder="1" applyAlignment="1">
      <alignment horizontal="right"/>
    </xf>
    <xf numFmtId="44" fontId="16" fillId="5" borderId="7" xfId="0" applyNumberFormat="1" applyFont="1" applyFill="1" applyBorder="1" applyAlignment="1">
      <alignment horizontal="right"/>
    </xf>
    <xf numFmtId="44" fontId="16" fillId="5" borderId="10" xfId="0" applyNumberFormat="1" applyFont="1" applyFill="1" applyBorder="1" applyAlignment="1">
      <alignment horizontal="right"/>
    </xf>
    <xf numFmtId="44" fontId="26" fillId="0" borderId="10" xfId="0" applyNumberFormat="1" applyFont="1" applyFill="1" applyBorder="1" applyAlignment="1">
      <alignment horizontal="right"/>
    </xf>
    <xf numFmtId="44" fontId="27" fillId="4" borderId="10" xfId="0" applyNumberFormat="1" applyFont="1" applyFill="1" applyBorder="1" applyAlignment="1"/>
    <xf numFmtId="0" fontId="0" fillId="2" borderId="12" xfId="0" applyFont="1" applyFill="1" applyBorder="1"/>
    <xf numFmtId="5" fontId="28" fillId="0" borderId="7" xfId="0" applyNumberFormat="1" applyFont="1" applyFill="1" applyBorder="1" applyAlignment="1">
      <alignment horizontal="center"/>
    </xf>
    <xf numFmtId="10" fontId="0" fillId="0" borderId="7" xfId="0" applyNumberFormat="1" applyFont="1" applyBorder="1"/>
    <xf numFmtId="164" fontId="0" fillId="0" borderId="10" xfId="0" applyNumberFormat="1" applyFont="1" applyBorder="1"/>
    <xf numFmtId="164" fontId="0" fillId="2" borderId="10" xfId="0" applyNumberFormat="1" applyFont="1" applyFill="1" applyBorder="1"/>
    <xf numFmtId="5" fontId="28" fillId="0" borderId="10" xfId="0" applyNumberFormat="1" applyFont="1" applyFill="1" applyBorder="1" applyAlignment="1">
      <alignment horizontal="center"/>
    </xf>
    <xf numFmtId="10" fontId="0" fillId="0" borderId="10" xfId="0" applyNumberFormat="1" applyFont="1" applyBorder="1"/>
    <xf numFmtId="44" fontId="29" fillId="0" borderId="10" xfId="0" applyNumberFormat="1" applyFont="1" applyFill="1" applyBorder="1" applyAlignment="1">
      <alignment horizontal="right"/>
    </xf>
    <xf numFmtId="44" fontId="0" fillId="0" borderId="0" xfId="0" applyNumberFormat="1" applyFill="1" applyAlignment="1">
      <alignment horizontal="right"/>
    </xf>
    <xf numFmtId="10" fontId="0" fillId="2" borderId="7" xfId="0" applyNumberFormat="1" applyFont="1" applyFill="1" applyBorder="1"/>
    <xf numFmtId="10" fontId="0" fillId="2" borderId="10" xfId="0" applyNumberFormat="1" applyFont="1" applyFill="1" applyBorder="1"/>
    <xf numFmtId="0" fontId="0" fillId="0" borderId="10" xfId="0" applyBorder="1"/>
    <xf numFmtId="44" fontId="16" fillId="12" borderId="10" xfId="0" applyNumberFormat="1" applyFont="1" applyFill="1" applyBorder="1" applyAlignment="1"/>
    <xf numFmtId="44" fontId="0" fillId="0" borderId="10" xfId="0" applyNumberFormat="1" applyBorder="1" applyAlignment="1">
      <alignment horizontal="right"/>
    </xf>
    <xf numFmtId="44" fontId="30" fillId="8" borderId="0" xfId="0" applyNumberFormat="1" applyFont="1" applyFill="1"/>
    <xf numFmtId="0" fontId="32" fillId="0" borderId="0" xfId="0" applyFont="1"/>
    <xf numFmtId="14" fontId="32" fillId="0" borderId="0" xfId="0" applyNumberFormat="1" applyFont="1"/>
    <xf numFmtId="3" fontId="32" fillId="0" borderId="0" xfId="0" applyNumberFormat="1" applyFont="1"/>
    <xf numFmtId="44" fontId="32" fillId="0" borderId="0" xfId="0" applyNumberFormat="1" applyFont="1"/>
    <xf numFmtId="166" fontId="0" fillId="0" borderId="0" xfId="0" applyNumberFormat="1"/>
    <xf numFmtId="0" fontId="0" fillId="0" borderId="0" xfId="0" applyAlignment="1">
      <alignment horizontal="center"/>
    </xf>
    <xf numFmtId="0" fontId="0" fillId="0" borderId="0" xfId="0" applyAlignment="1">
      <alignment horizontal="center"/>
    </xf>
    <xf numFmtId="0" fontId="5" fillId="0" borderId="21" xfId="0" applyFont="1" applyBorder="1"/>
    <xf numFmtId="44" fontId="0" fillId="0" borderId="10" xfId="0" applyNumberFormat="1" applyBorder="1"/>
    <xf numFmtId="164" fontId="0" fillId="0" borderId="4" xfId="0" applyNumberFormat="1" applyFont="1" applyBorder="1"/>
    <xf numFmtId="164" fontId="0" fillId="0" borderId="10" xfId="0" applyNumberFormat="1" applyFont="1" applyFill="1" applyBorder="1"/>
    <xf numFmtId="164" fontId="0" fillId="0" borderId="5" xfId="0" applyNumberFormat="1" applyFont="1" applyBorder="1"/>
    <xf numFmtId="164" fontId="0" fillId="0" borderId="7" xfId="0" applyNumberFormat="1" applyFont="1" applyBorder="1"/>
    <xf numFmtId="0" fontId="37" fillId="13" borderId="0" xfId="1"/>
    <xf numFmtId="0" fontId="38" fillId="0" borderId="0" xfId="0" applyFont="1" applyFill="1"/>
    <xf numFmtId="0" fontId="5" fillId="0" borderId="8" xfId="0" applyFont="1" applyBorder="1" applyAlignment="1">
      <alignment horizontal="left" vertical="top"/>
    </xf>
    <xf numFmtId="0" fontId="0" fillId="0" borderId="8" xfId="0" applyBorder="1" applyAlignment="1">
      <alignment horizontal="left" vertical="top"/>
    </xf>
    <xf numFmtId="0" fontId="39" fillId="0" borderId="0" xfId="2"/>
    <xf numFmtId="0" fontId="5"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3" fillId="10" borderId="0" xfId="0" applyFont="1"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164" fontId="21" fillId="0" borderId="0" xfId="0" applyNumberFormat="1" applyFont="1" applyAlignment="1" applyProtection="1">
      <alignment horizontal="center" vertical="center" wrapText="1"/>
      <protection locked="0"/>
    </xf>
    <xf numFmtId="0" fontId="25" fillId="10" borderId="0" xfId="0" applyFont="1" applyFill="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1" fillId="0" borderId="0" xfId="0" applyFont="1" applyProtection="1">
      <protection locked="0"/>
    </xf>
    <xf numFmtId="0" fontId="0" fillId="0" borderId="0" xfId="0" applyProtection="1">
      <protection locked="0"/>
    </xf>
    <xf numFmtId="1" fontId="0" fillId="0" borderId="0" xfId="0" applyNumberFormat="1" applyProtection="1">
      <protection locked="0"/>
    </xf>
    <xf numFmtId="41" fontId="2" fillId="0" borderId="0" xfId="0" applyNumberFormat="1" applyFont="1" applyProtection="1">
      <protection locked="0"/>
    </xf>
    <xf numFmtId="44" fontId="2" fillId="0" borderId="0" xfId="0" applyNumberFormat="1" applyFont="1" applyProtection="1">
      <protection locked="0"/>
    </xf>
    <xf numFmtId="44" fontId="0" fillId="0" borderId="0" xfId="0" applyNumberFormat="1" applyProtection="1">
      <protection locked="0"/>
    </xf>
    <xf numFmtId="164" fontId="0" fillId="0" borderId="0" xfId="0" applyNumberFormat="1" applyAlignment="1" applyProtection="1">
      <alignment horizontal="right"/>
      <protection locked="0"/>
    </xf>
    <xf numFmtId="44" fontId="0" fillId="0" borderId="0" xfId="0" applyNumberFormat="1" applyFill="1" applyProtection="1">
      <protection locked="0"/>
    </xf>
    <xf numFmtId="164" fontId="0" fillId="0" borderId="0" xfId="0" applyNumberFormat="1" applyFill="1" applyAlignment="1" applyProtection="1">
      <alignment horizontal="right"/>
      <protection locked="0"/>
    </xf>
    <xf numFmtId="14" fontId="0" fillId="0" borderId="0" xfId="0" applyNumberFormat="1" applyProtection="1">
      <protection locked="0"/>
    </xf>
    <xf numFmtId="164" fontId="0" fillId="0" borderId="0" xfId="0" applyNumberFormat="1" applyProtection="1">
      <protection locked="0"/>
    </xf>
    <xf numFmtId="0" fontId="0" fillId="0" borderId="0" xfId="0" quotePrefix="1" applyProtection="1">
      <protection locked="0"/>
    </xf>
    <xf numFmtId="164" fontId="0" fillId="0" borderId="0" xfId="0" quotePrefix="1" applyNumberFormat="1" applyAlignment="1" applyProtection="1">
      <alignment horizontal="right"/>
      <protection locked="0"/>
    </xf>
    <xf numFmtId="164" fontId="0" fillId="0" borderId="0" xfId="0" quotePrefix="1" applyNumberFormat="1" applyFill="1" applyAlignment="1" applyProtection="1">
      <alignment horizontal="right"/>
      <protection locked="0"/>
    </xf>
    <xf numFmtId="14" fontId="0" fillId="0" borderId="0" xfId="0" quotePrefix="1" applyNumberFormat="1" applyAlignment="1" applyProtection="1">
      <alignment horizontal="right"/>
      <protection locked="0"/>
    </xf>
    <xf numFmtId="0" fontId="0" fillId="0" borderId="0" xfId="0" applyAlignment="1" applyProtection="1">
      <alignment horizontal="right"/>
      <protection locked="0"/>
    </xf>
    <xf numFmtId="44" fontId="0" fillId="0" borderId="0" xfId="0" applyNumberFormat="1" applyAlignment="1" applyProtection="1">
      <alignment horizontal="right"/>
      <protection locked="0"/>
    </xf>
    <xf numFmtId="0" fontId="7" fillId="0" borderId="0" xfId="0" applyFont="1" applyFill="1" applyProtection="1">
      <protection locked="0"/>
    </xf>
    <xf numFmtId="166" fontId="0" fillId="0" borderId="0" xfId="0" applyNumberFormat="1" applyProtection="1">
      <protection locked="0"/>
    </xf>
    <xf numFmtId="41" fontId="33" fillId="0" borderId="0" xfId="0" applyNumberFormat="1" applyFont="1" applyProtection="1">
      <protection locked="0"/>
    </xf>
    <xf numFmtId="44" fontId="33" fillId="0" borderId="0" xfId="0" applyNumberFormat="1" applyFont="1" applyProtection="1">
      <protection locked="0"/>
    </xf>
    <xf numFmtId="44" fontId="0" fillId="0" borderId="0" xfId="0" applyNumberFormat="1" applyFill="1" applyAlignment="1" applyProtection="1">
      <alignment horizontal="right"/>
      <protection locked="0"/>
    </xf>
    <xf numFmtId="14" fontId="0" fillId="0" borderId="0" xfId="0" quotePrefix="1" applyNumberFormat="1" applyProtection="1">
      <protection locked="0"/>
    </xf>
    <xf numFmtId="0" fontId="0" fillId="0" borderId="0" xfId="0" quotePrefix="1" applyAlignment="1" applyProtection="1">
      <alignment horizontal="right"/>
      <protection locked="0"/>
    </xf>
    <xf numFmtId="0" fontId="0" fillId="0" borderId="0" xfId="0" applyNumberFormat="1" applyProtection="1">
      <protection locked="0"/>
    </xf>
    <xf numFmtId="164" fontId="0" fillId="0" borderId="0" xfId="0" quotePrefix="1" applyNumberFormat="1" applyProtection="1">
      <protection locked="0"/>
    </xf>
    <xf numFmtId="1" fontId="0" fillId="0" borderId="0" xfId="0" quotePrefix="1" applyNumberFormat="1" applyAlignment="1" applyProtection="1">
      <alignment horizontal="right"/>
      <protection locked="0"/>
    </xf>
    <xf numFmtId="44" fontId="0" fillId="0" borderId="0" xfId="0" quotePrefix="1" applyNumberFormat="1" applyProtection="1">
      <protection locked="0"/>
    </xf>
    <xf numFmtId="44" fontId="0" fillId="0" borderId="0" xfId="0" quotePrefix="1" applyNumberFormat="1" applyAlignment="1" applyProtection="1">
      <alignment horizontal="center"/>
      <protection locked="0"/>
    </xf>
    <xf numFmtId="0" fontId="18" fillId="0" borderId="0" xfId="0" applyFont="1" applyFill="1" applyProtection="1">
      <protection locked="0"/>
    </xf>
    <xf numFmtId="0" fontId="34"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44" fontId="35" fillId="0" borderId="0" xfId="0" applyNumberFormat="1" applyFont="1" applyFill="1" applyBorder="1" applyAlignment="1" applyProtection="1">
      <alignment horizontal="center" vertical="center" wrapText="1"/>
      <protection locked="0"/>
    </xf>
    <xf numFmtId="44" fontId="36" fillId="0" borderId="0" xfId="0" applyNumberFormat="1" applyFont="1" applyFill="1" applyBorder="1" applyAlignment="1" applyProtection="1">
      <alignment horizontal="center" vertical="center" wrapText="1"/>
      <protection locked="0"/>
    </xf>
    <xf numFmtId="0" fontId="0" fillId="0" borderId="0" xfId="0" applyFont="1" applyFill="1" applyBorder="1" applyProtection="1">
      <protection locked="0"/>
    </xf>
    <xf numFmtId="41" fontId="2" fillId="0" borderId="0" xfId="0" applyNumberFormat="1" applyFont="1" applyFill="1" applyBorder="1" applyProtection="1">
      <protection locked="0"/>
    </xf>
    <xf numFmtId="0" fontId="0" fillId="0" borderId="0" xfId="0" applyFill="1" applyBorder="1" applyProtection="1">
      <protection locked="0"/>
    </xf>
    <xf numFmtId="0" fontId="0" fillId="0" borderId="0" xfId="0" quotePrefix="1" applyFill="1" applyBorder="1" applyProtection="1">
      <protection locked="0"/>
    </xf>
    <xf numFmtId="44" fontId="0" fillId="0" borderId="0" xfId="0" quotePrefix="1" applyNumberFormat="1" applyFill="1" applyBorder="1" applyProtection="1">
      <protection locked="0"/>
    </xf>
    <xf numFmtId="0" fontId="0" fillId="0" borderId="0" xfId="0" applyFill="1" applyBorder="1" applyAlignment="1" applyProtection="1">
      <alignment horizontal="center"/>
      <protection locked="0"/>
    </xf>
    <xf numFmtId="167" fontId="0" fillId="0" borderId="0" xfId="0" applyNumberFormat="1" applyFill="1" applyBorder="1" applyProtection="1">
      <protection locked="0"/>
    </xf>
    <xf numFmtId="44" fontId="0" fillId="0" borderId="0" xfId="0" applyNumberFormat="1" applyFill="1" applyBorder="1" applyProtection="1">
      <protection locked="0"/>
    </xf>
    <xf numFmtId="0" fontId="7" fillId="0" borderId="0" xfId="0" applyFont="1" applyFill="1" applyBorder="1" applyProtection="1">
      <protection locked="0"/>
    </xf>
    <xf numFmtId="0" fontId="31" fillId="0" borderId="0" xfId="0" applyFont="1" applyFill="1" applyBorder="1" applyProtection="1">
      <protection locked="0"/>
    </xf>
    <xf numFmtId="0" fontId="18" fillId="0" borderId="0" xfId="0" applyFont="1" applyFill="1" applyBorder="1" applyProtection="1">
      <protection locked="0"/>
    </xf>
    <xf numFmtId="0" fontId="9" fillId="0" borderId="19" xfId="0" applyFont="1" applyFill="1" applyBorder="1" applyAlignment="1" applyProtection="1">
      <alignment vertical="center"/>
      <protection locked="0"/>
    </xf>
    <xf numFmtId="0" fontId="9" fillId="0" borderId="5" xfId="0" applyFont="1" applyFill="1" applyBorder="1" applyAlignment="1" applyProtection="1">
      <alignment horizontal="center" vertical="center" wrapText="1"/>
      <protection locked="0"/>
    </xf>
    <xf numFmtId="44" fontId="9" fillId="0" borderId="5" xfId="0" applyNumberFormat="1" applyFont="1" applyFill="1" applyBorder="1" applyAlignment="1" applyProtection="1">
      <alignment horizontal="center" vertical="center" wrapText="1"/>
      <protection locked="0"/>
    </xf>
    <xf numFmtId="0" fontId="7" fillId="0" borderId="10" xfId="0" quotePrefix="1" applyFont="1" applyFill="1" applyBorder="1" applyAlignment="1" applyProtection="1">
      <alignment horizontal="center" wrapText="1"/>
      <protection locked="0"/>
    </xf>
    <xf numFmtId="0" fontId="0" fillId="0" borderId="10" xfId="0" applyFont="1" applyBorder="1" applyProtection="1">
      <protection locked="0"/>
    </xf>
    <xf numFmtId="44" fontId="0" fillId="0" borderId="10" xfId="0" applyNumberFormat="1" applyFont="1" applyBorder="1" applyProtection="1">
      <protection locked="0"/>
    </xf>
    <xf numFmtId="0" fontId="6" fillId="0" borderId="10" xfId="0" applyFont="1" applyBorder="1" applyProtection="1">
      <protection locked="0"/>
    </xf>
    <xf numFmtId="44" fontId="6" fillId="0" borderId="10" xfId="0" applyNumberFormat="1" applyFont="1" applyBorder="1" applyProtection="1">
      <protection locked="0"/>
    </xf>
    <xf numFmtId="0" fontId="8" fillId="0" borderId="10" xfId="0" applyFont="1" applyBorder="1" applyProtection="1">
      <protection locked="0"/>
    </xf>
    <xf numFmtId="0" fontId="6" fillId="0" borderId="10" xfId="0" applyFont="1" applyFill="1" applyBorder="1" applyProtection="1">
      <protection locked="0"/>
    </xf>
    <xf numFmtId="44" fontId="6" fillId="0" borderId="10" xfId="0" applyNumberFormat="1" applyFont="1" applyFill="1" applyBorder="1" applyProtection="1">
      <protection locked="0"/>
    </xf>
    <xf numFmtId="0" fontId="7" fillId="0" borderId="10" xfId="0" quotePrefix="1" applyFont="1" applyFill="1" applyBorder="1" applyAlignment="1" applyProtection="1">
      <alignment horizontal="center"/>
      <protection locked="0"/>
    </xf>
    <xf numFmtId="16" fontId="7" fillId="0" borderId="10" xfId="0" applyNumberFormat="1" applyFont="1" applyFill="1" applyBorder="1" applyAlignment="1" applyProtection="1">
      <alignment horizontal="center" wrapText="1"/>
      <protection locked="0"/>
    </xf>
    <xf numFmtId="0" fontId="0" fillId="0" borderId="10" xfId="0" applyFont="1" applyBorder="1" applyAlignment="1" applyProtection="1">
      <alignment horizontal="left"/>
      <protection locked="0"/>
    </xf>
    <xf numFmtId="44" fontId="0" fillId="0" borderId="10" xfId="0" applyNumberFormat="1" applyFont="1" applyBorder="1" applyAlignment="1" applyProtection="1">
      <alignment horizontal="left"/>
      <protection locked="0"/>
    </xf>
    <xf numFmtId="0" fontId="7" fillId="0" borderId="10" xfId="0" applyFont="1" applyFill="1" applyBorder="1" applyAlignment="1" applyProtection="1">
      <alignment horizontal="left" vertical="center" wrapText="1"/>
      <protection locked="0"/>
    </xf>
    <xf numFmtId="44" fontId="7" fillId="0" borderId="10" xfId="0" applyNumberFormat="1" applyFont="1" applyFill="1" applyBorder="1" applyAlignment="1" applyProtection="1">
      <alignment horizontal="left" vertical="center" wrapText="1"/>
      <protection locked="0"/>
    </xf>
    <xf numFmtId="0" fontId="7" fillId="0" borderId="2" xfId="0" quotePrefix="1" applyFont="1" applyFill="1" applyBorder="1" applyAlignment="1" applyProtection="1">
      <alignment horizontal="center"/>
      <protection locked="0"/>
    </xf>
    <xf numFmtId="0" fontId="1" fillId="0" borderId="10" xfId="0" applyFont="1" applyBorder="1" applyProtection="1">
      <protection locked="0"/>
    </xf>
    <xf numFmtId="44" fontId="1" fillId="0" borderId="10" xfId="0" applyNumberFormat="1" applyFont="1" applyBorder="1" applyProtection="1">
      <protection locked="0"/>
    </xf>
    <xf numFmtId="0" fontId="7" fillId="0" borderId="2" xfId="0" quotePrefix="1" applyFont="1" applyFill="1" applyBorder="1" applyAlignment="1" applyProtection="1">
      <alignment horizontal="center" wrapText="1"/>
      <protection locked="0"/>
    </xf>
    <xf numFmtId="0" fontId="7" fillId="0" borderId="19" xfId="0" quotePrefix="1" applyFont="1" applyFill="1" applyBorder="1" applyAlignment="1" applyProtection="1">
      <alignment horizontal="center" wrapText="1"/>
      <protection locked="0"/>
    </xf>
    <xf numFmtId="0" fontId="7" fillId="0" borderId="19" xfId="0" quotePrefix="1" applyFont="1" applyFill="1" applyBorder="1" applyAlignment="1" applyProtection="1">
      <alignment horizontal="center"/>
      <protection locked="0"/>
    </xf>
    <xf numFmtId="16" fontId="7" fillId="0" borderId="19" xfId="0" applyNumberFormat="1" applyFont="1" applyFill="1" applyBorder="1" applyAlignment="1" applyProtection="1">
      <alignment horizontal="center" wrapText="1"/>
      <protection locked="0"/>
    </xf>
    <xf numFmtId="0" fontId="6" fillId="0" borderId="19" xfId="0" quotePrefix="1" applyFont="1" applyFill="1" applyBorder="1" applyAlignment="1" applyProtection="1">
      <alignment horizontal="center"/>
      <protection locked="0"/>
    </xf>
    <xf numFmtId="0" fontId="7" fillId="0" borderId="10" xfId="0" applyFont="1" applyBorder="1" applyProtection="1">
      <protection locked="0"/>
    </xf>
    <xf numFmtId="0" fontId="6" fillId="0" borderId="10" xfId="0" applyFont="1" applyFill="1" applyBorder="1" applyAlignment="1" applyProtection="1">
      <alignment horizontal="left" vertical="center" wrapText="1"/>
      <protection locked="0"/>
    </xf>
    <xf numFmtId="44" fontId="6" fillId="0" borderId="10" xfId="0" applyNumberFormat="1" applyFont="1" applyFill="1" applyBorder="1" applyAlignment="1" applyProtection="1">
      <alignment horizontal="left" vertical="center" wrapText="1"/>
      <protection locked="0"/>
    </xf>
    <xf numFmtId="44" fontId="7" fillId="0" borderId="10" xfId="0" applyNumberFormat="1" applyFont="1" applyBorder="1" applyProtection="1">
      <protection locked="0"/>
    </xf>
    <xf numFmtId="0" fontId="0" fillId="0" borderId="10" xfId="0" applyFont="1" applyBorder="1" applyAlignment="1" applyProtection="1">
      <alignment horizontal="left" vertical="center"/>
      <protection locked="0"/>
    </xf>
    <xf numFmtId="0" fontId="0" fillId="0" borderId="1" xfId="0" applyFont="1" applyBorder="1" applyProtection="1">
      <protection locked="0"/>
    </xf>
    <xf numFmtId="44" fontId="0" fillId="0" borderId="1" xfId="0" applyNumberFormat="1" applyFont="1" applyBorder="1" applyProtection="1">
      <protection locked="0"/>
    </xf>
    <xf numFmtId="0" fontId="1" fillId="0" borderId="1" xfId="0" applyFont="1" applyBorder="1" applyProtection="1">
      <protection locked="0"/>
    </xf>
    <xf numFmtId="44" fontId="1" fillId="0" borderId="1" xfId="0" applyNumberFormat="1" applyFont="1" applyBorder="1" applyProtection="1">
      <protection locked="0"/>
    </xf>
    <xf numFmtId="0" fontId="6" fillId="0" borderId="19" xfId="0" quotePrefix="1" applyFont="1" applyFill="1" applyBorder="1" applyAlignment="1" applyProtection="1">
      <alignment horizontal="center" wrapText="1"/>
      <protection locked="0"/>
    </xf>
    <xf numFmtId="0" fontId="7" fillId="0" borderId="1" xfId="0" applyFont="1" applyFill="1" applyBorder="1" applyAlignment="1" applyProtection="1">
      <alignment horizontal="left" vertical="center" wrapText="1"/>
      <protection locked="0"/>
    </xf>
    <xf numFmtId="0" fontId="6" fillId="0" borderId="1" xfId="0" applyFont="1" applyBorder="1" applyProtection="1">
      <protection locked="0"/>
    </xf>
    <xf numFmtId="44" fontId="7" fillId="0" borderId="1" xfId="0" applyNumberFormat="1" applyFont="1" applyFill="1" applyBorder="1" applyAlignment="1" applyProtection="1">
      <alignment horizontal="left" vertical="center" wrapText="1"/>
      <protection locked="0"/>
    </xf>
    <xf numFmtId="44" fontId="6" fillId="0" borderId="1" xfId="0" applyNumberFormat="1" applyFont="1" applyBorder="1" applyProtection="1">
      <protection locked="0"/>
    </xf>
    <xf numFmtId="0" fontId="5" fillId="0" borderId="8" xfId="0" applyFont="1" applyBorder="1" applyAlignment="1">
      <alignment horizontal="left" vertical="top"/>
    </xf>
    <xf numFmtId="0" fontId="0" fillId="0" borderId="0" xfId="0"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top" wrapText="1"/>
    </xf>
    <xf numFmtId="0" fontId="0" fillId="0" borderId="2" xfId="0" applyBorder="1" applyAlignment="1">
      <alignment horizontal="left" vertical="top" wrapText="1"/>
    </xf>
    <xf numFmtId="0" fontId="13" fillId="0" borderId="0" xfId="0" applyFont="1" applyAlignment="1">
      <alignment horizontal="left" vertical="top" wrapText="1"/>
    </xf>
    <xf numFmtId="0" fontId="39" fillId="0" borderId="0" xfId="2" applyAlignment="1">
      <alignment horizontal="left" vertical="top" wrapText="1"/>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5" borderId="10"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xf>
    <xf numFmtId="0" fontId="5" fillId="0" borderId="28" xfId="0" applyFont="1" applyBorder="1" applyAlignment="1">
      <alignment horizontal="center"/>
    </xf>
    <xf numFmtId="0" fontId="5" fillId="0" borderId="29" xfId="0" applyFont="1" applyBorder="1" applyAlignment="1">
      <alignment horizontal="center"/>
    </xf>
    <xf numFmtId="44" fontId="0" fillId="2" borderId="10" xfId="0" applyNumberFormat="1" applyFill="1" applyBorder="1" applyAlignment="1">
      <alignment horizont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4" xfId="0" applyFont="1" applyBorder="1" applyAlignment="1">
      <alignment horizontal="center" wrapText="1"/>
    </xf>
    <xf numFmtId="0" fontId="0" fillId="0" borderId="25" xfId="0" applyFont="1" applyBorder="1" applyAlignment="1">
      <alignment horizontal="center" wrapText="1"/>
    </xf>
    <xf numFmtId="0" fontId="0" fillId="0" borderId="26" xfId="0" applyFont="1" applyBorder="1" applyAlignment="1">
      <alignment horizontal="center" wrapText="1"/>
    </xf>
    <xf numFmtId="0" fontId="0" fillId="0" borderId="27" xfId="0" applyBorder="1" applyAlignment="1">
      <alignment horizontal="center"/>
    </xf>
  </cellXfs>
  <cellStyles count="3">
    <cellStyle name="Hyperlink" xfId="2" builtinId="8"/>
    <cellStyle name="Neutral" xfId="1" builtinId="28"/>
    <cellStyle name="Normal" xfId="0" builtinId="0"/>
  </cellStyles>
  <dxfs count="91">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name val="Calibri"/>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protection locked="0" hidden="0"/>
    </dxf>
    <dxf>
      <fill>
        <patternFill patternType="none">
          <fgColor indexed="64"/>
          <bgColor auto="1"/>
        </patternFill>
      </fill>
      <alignment horizontal="center" textRotation="0" indent="0" justifyLastLine="0" shrinkToFit="0" readingOrder="0"/>
      <protection locked="0" hidden="0"/>
    </dxf>
    <dxf>
      <fill>
        <patternFill patternType="none">
          <fgColor indexed="64"/>
          <bgColor auto="1"/>
        </patternFill>
      </fill>
      <alignment horizontal="center" textRotation="0" indent="0" justifyLastLine="0" shrinkToFit="0" readingOrder="0"/>
      <protection locked="0" hidden="0"/>
    </dxf>
    <dxf>
      <numFmt numFmtId="34" formatCode="_(&quot;$&quot;* #,##0.00_);_(&quot;$&quot;* \(#,##0.00\);_(&quot;$&quot;* &quot;-&quot;??_);_(@_)"/>
      <fill>
        <patternFill patternType="none">
          <fgColor indexed="64"/>
          <bgColor auto="1"/>
        </patternFill>
      </fill>
      <protection locked="0" hidden="0"/>
    </dxf>
    <dxf>
      <numFmt numFmtId="34" formatCode="_(&quot;$&quot;* #,##0.00_);_(&quot;$&quot;* \(#,##0.00\);_(&quot;$&quot;* &quot;-&quot;??_);_(@_)"/>
      <fill>
        <patternFill patternType="none">
          <fgColor indexed="64"/>
          <bgColor auto="1"/>
        </patternFill>
      </fill>
      <protection locked="0" hidden="0"/>
    </dxf>
    <dxf>
      <numFmt numFmtId="34" formatCode="_(&quot;$&quot;* #,##0.00_);_(&quot;$&quot;* \(#,##0.00\);_(&quot;$&quot;* &quot;-&quot;??_);_(@_)"/>
      <fill>
        <patternFill patternType="none">
          <fgColor indexed="64"/>
          <bgColor auto="1"/>
        </patternFill>
      </fill>
      <protection locked="0" hidden="0"/>
    </dxf>
    <dxf>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numFmt numFmtId="1" formatCode="0"/>
    </dxf>
    <dxf>
      <numFmt numFmtId="0" formatCode="General"/>
      <protection locked="0" hidden="0"/>
    </dxf>
    <dxf>
      <protection locked="0" hidden="0"/>
    </dxf>
    <dxf>
      <protection locked="0" hidden="0"/>
    </dxf>
    <dxf>
      <protection locked="0" hidden="0"/>
    </dxf>
    <dxf>
      <protection locked="0" hidden="0"/>
    </dxf>
    <dxf>
      <protection locked="0" hidden="0"/>
    </dxf>
    <dxf>
      <numFmt numFmtId="164" formatCode="&quot;$&quot;#,##0.00"/>
      <fill>
        <patternFill patternType="none">
          <fgColor indexed="64"/>
          <bgColor indexed="65"/>
        </patternFill>
      </fill>
      <alignment horizontal="right" vertical="bottom" textRotation="0" wrapText="0" indent="0" justifyLastLine="0" shrinkToFit="0" readingOrder="0"/>
    </dxf>
    <dxf>
      <numFmt numFmtId="164" formatCode="&quot;$&quot;#,##0.00"/>
      <fill>
        <patternFill patternType="none">
          <fgColor indexed="64"/>
          <bgColor indexed="65"/>
        </patternFill>
      </fill>
      <alignment horizontal="right" vertical="bottom" textRotation="0" wrapText="0" indent="0" justifyLastLine="0" shrinkToFit="0" readingOrder="0"/>
      <protection locked="0" hidden="0"/>
    </dxf>
    <dxf>
      <numFmt numFmtId="164" formatCode="&quot;$&quot;#,##0.00"/>
      <fill>
        <patternFill patternType="none">
          <fgColor indexed="64"/>
          <bgColor indexed="65"/>
        </patternFill>
      </fill>
      <alignment horizontal="right" vertical="bottom" textRotation="0" wrapText="0" indent="0" justifyLastLine="0" shrinkToFit="0" readingOrder="0"/>
    </dxf>
    <dxf>
      <numFmt numFmtId="164" formatCode="&quot;$&quot;#,##0.00"/>
      <fill>
        <patternFill patternType="none">
          <fgColor indexed="64"/>
          <bgColor indexed="65"/>
        </patternFill>
      </fill>
      <alignment horizontal="right" vertical="bottom" textRotation="0" wrapText="0" indent="0" justifyLastLine="0" shrinkToFit="0" readingOrder="0"/>
      <protection locked="0" hidden="0"/>
    </dxf>
    <dxf>
      <numFmt numFmtId="34" formatCode="_(&quot;$&quot;* #,##0.00_);_(&quot;$&quot;* \(#,##0.00\);_(&quot;$&quot;* &quot;-&quot;??_);_(@_)"/>
    </dxf>
    <dxf>
      <numFmt numFmtId="34" formatCode="_(&quot;$&quot;* #,##0.00_);_(&quot;$&quot;* \(#,##0.00\);_(&quot;$&quot;* &quot;-&quot;??_);_(@_)"/>
      <protection locked="0" hidden="0"/>
    </dxf>
    <dxf>
      <numFmt numFmtId="19" formatCode="m/d/yyyy"/>
      <alignment horizontal="right" vertical="bottom" textRotation="0" wrapText="0" indent="0" justifyLastLine="0" shrinkToFit="0" readingOrder="0"/>
      <protection locked="0" hidden="0"/>
    </dxf>
    <dxf>
      <numFmt numFmtId="164" formatCode="&quot;$&quot;#,##0.00"/>
      <fill>
        <patternFill patternType="none">
          <fgColor indexed="64"/>
          <bgColor indexed="65"/>
        </patternFill>
      </fill>
    </dxf>
    <dxf>
      <numFmt numFmtId="164" formatCode="&quot;$&quot;#,##0.00"/>
      <alignment horizontal="right" vertical="bottom" textRotation="0" wrapText="0" indent="0" justifyLastLine="0" shrinkToFit="0" readingOrder="0"/>
      <protection locked="0" hidden="0"/>
    </dxf>
    <dxf>
      <fill>
        <patternFill patternType="none">
          <fgColor indexed="64"/>
          <bgColor indexed="65"/>
        </patternFill>
      </fill>
    </dxf>
    <dxf>
      <numFmt numFmtId="19" formatCode="m/d/yyyy"/>
      <alignment horizontal="right" vertical="bottom" textRotation="0" wrapText="0" indent="0" justifyLastLine="0" shrinkToFit="0" readingOrder="0"/>
      <protection locked="0" hidden="0"/>
    </dxf>
    <dxf>
      <numFmt numFmtId="164" formatCode="&quot;$&quot;#,##0.00"/>
      <fill>
        <patternFill patternType="none">
          <fgColor indexed="64"/>
          <bgColor indexed="65"/>
        </patternFill>
      </fill>
    </dxf>
    <dxf>
      <numFmt numFmtId="164" formatCode="&quot;$&quot;#,##0.00"/>
      <alignment horizontal="right" vertical="bottom" textRotation="0" wrapText="0" indent="0" justifyLastLine="0" shrinkToFit="0" readingOrder="0"/>
      <protection locked="0" hidden="0"/>
    </dxf>
    <dxf>
      <numFmt numFmtId="19" formatCode="m/d/yyyy"/>
    </dxf>
    <dxf>
      <numFmt numFmtId="19" formatCode="m/d/yyyy"/>
      <alignment horizontal="right" vertical="bottom" textRotation="0" wrapText="0" indent="0" justifyLastLine="0" shrinkToFit="0" readingOrder="0"/>
      <protection locked="0" hidden="0"/>
    </dxf>
    <dxf>
      <fill>
        <patternFill patternType="none">
          <fgColor indexed="64"/>
          <bgColor indexed="65"/>
        </patternFill>
      </fill>
    </dxf>
    <dxf>
      <protection locked="0" hidden="0"/>
    </dxf>
    <dxf>
      <numFmt numFmtId="164" formatCode="&quot;$&quot;#,##0.00"/>
      <fill>
        <patternFill patternType="none">
          <fgColor indexed="64"/>
          <bgColor indexed="65"/>
        </patternFill>
      </fill>
      <alignment horizontal="right" vertical="bottom" textRotation="0" wrapText="0" indent="0" justifyLastLine="0" shrinkToFit="0" readingOrder="0"/>
    </dxf>
    <dxf>
      <numFmt numFmtId="164" formatCode="&quot;$&quot;#,##0.00"/>
      <fill>
        <patternFill patternType="none">
          <fgColor indexed="64"/>
          <bgColor indexed="65"/>
        </patternFill>
      </fill>
      <alignment horizontal="right" vertical="bottom" textRotation="0" wrapText="0" indent="0" justifyLastLine="0" shrinkToFit="0" readingOrder="0"/>
      <protection locked="0" hidden="0"/>
    </dxf>
    <dxf>
      <numFmt numFmtId="34" formatCode="_(&quot;$&quot;* #,##0.00_);_(&quot;$&quot;* \(#,##0.00\);_(&quot;$&quot;* &quot;-&quot;??_);_(@_)"/>
      <fill>
        <patternFill patternType="none">
          <fgColor indexed="64"/>
          <bgColor indexed="65"/>
        </patternFill>
      </fill>
      <alignment horizontal="right" vertical="bottom" textRotation="0" wrapText="0" indent="0" justifyLastLine="0" shrinkToFit="0" readingOrder="0"/>
    </dxf>
    <dxf>
      <numFmt numFmtId="34" formatCode="_(&quot;$&quot;* #,##0.00_);_(&quot;$&quot;* \(#,##0.00\);_(&quot;$&quot;* &quot;-&quot;??_);_(@_)"/>
      <fill>
        <patternFill patternType="none">
          <fgColor indexed="64"/>
          <bgColor indexed="65"/>
        </patternFill>
      </fill>
      <alignment horizontal="right" vertical="bottom" textRotation="0" wrapText="0" indent="0" justifyLastLine="0" shrinkToFit="0" readingOrder="0"/>
      <protection locked="0" hidden="0"/>
    </dxf>
    <dxf>
      <numFmt numFmtId="164" formatCode="&quot;$&quot;#,##0.00"/>
      <alignment horizontal="right" vertical="bottom" textRotation="0" wrapText="0" indent="0" justifyLastLine="0" shrinkToFit="0" readingOrder="0"/>
    </dxf>
    <dxf>
      <numFmt numFmtId="164" formatCode="&quot;$&quot;#,##0.00"/>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3" formatCode="_(* #,##0_);_(* \(#,##0\);_(* &quot;-&quot;_);_(@_)"/>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dxf>
    <dxf>
      <font>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4" formatCode="_(&quot;$&quot;* #,##0.00_);_(&quot;$&quot;* \(#,##0.00\);_(&quot;$&quot;*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3" formatCode="_(* #,##0_);_(* \(#,##0\);_(*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3" formatCode="_(* #,##0_);_(* \(#,##0\);_(* &quot;-&quot;_);_(@_)"/>
      <protection locked="0" hidden="0"/>
    </dxf>
    <dxf>
      <font>
        <b val="0"/>
        <i val="0"/>
        <strike val="0"/>
        <condense val="0"/>
        <extend val="0"/>
        <outline val="0"/>
        <shadow val="0"/>
        <u val="none"/>
        <vertAlign val="baseline"/>
        <sz val="10"/>
        <color auto="1"/>
        <name val="Arial"/>
        <scheme val="none"/>
      </font>
      <numFmt numFmtId="33" formatCode="_(* #,##0_);_(* \(#,##0\);_(* &quot;-&quot;_);_(@_)"/>
    </dxf>
    <dxf>
      <font>
        <b val="0"/>
        <i val="0"/>
        <strike val="0"/>
        <condense val="0"/>
        <extend val="0"/>
        <outline val="0"/>
        <shadow val="0"/>
        <u val="none"/>
        <vertAlign val="baseline"/>
        <sz val="10"/>
        <color auto="1"/>
        <name val="Arial"/>
        <scheme val="none"/>
      </font>
      <numFmt numFmtId="33" formatCode="_(* #,##0_);_(* \(#,##0\);_(* &quot;-&quot;_);_(@_)"/>
      <protection locked="0" hidden="0"/>
    </dxf>
    <dxf>
      <numFmt numFmtId="166" formatCode="0.0"/>
    </dxf>
    <dxf>
      <numFmt numFmtId="165" formatCode="0.000"/>
      <protection locked="0" hidden="0"/>
    </dxf>
    <dxf>
      <numFmt numFmtId="165" formatCode="0.000"/>
    </dxf>
    <dxf>
      <numFmt numFmtId="1" formatCode="0"/>
      <protection locked="0" hidden="0"/>
    </dxf>
    <dxf>
      <protection locked="0" hidden="0"/>
    </dxf>
    <dxf>
      <protection locked="0" hidden="0"/>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510540</xdr:colOff>
      <xdr:row>24</xdr:row>
      <xdr:rowOff>22860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777740" cy="441198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K21" totalsRowCount="1" headerRowDxfId="90">
  <autoFilter ref="A1:AK20" xr:uid="{00000000-0009-0000-0100-000001000000}"/>
  <sortState ref="A2:AK20">
    <sortCondition descending="1" ref="E1:E20"/>
  </sortState>
  <tableColumns count="37">
    <tableColumn id="1" xr3:uid="{00000000-0010-0000-0000-000001000000}" name="Counties / School System" totalsRowLabel="Total" dataDxfId="89"/>
    <tableColumn id="2" xr3:uid="{00000000-0010-0000-0000-000002000000}" name="Designation" dataDxfId="88"/>
    <tableColumn id="3" xr3:uid="{00000000-0010-0000-0000-000003000000}" name="Rank out of 200 (2017)" dataDxfId="87" totalsRowDxfId="86"/>
    <tableColumn id="8" xr3:uid="{00000000-0010-0000-0000-000008000000}" name="% in Charter School" totalsRowFunction="custom" dataDxfId="85" totalsRowDxfId="84">
      <totalsRowFormula>MEDIAN(Table1[% in Charter School])</totalsRowFormula>
    </tableColumn>
    <tableColumn id="5" xr3:uid="{00000000-0010-0000-0000-000005000000}" name="M-1 ADM FY2017" dataDxfId="83" totalsRowDxfId="82"/>
    <tableColumn id="25" xr3:uid="{00000000-0010-0000-0000-000019000000}" name="Total FY 2017 Local Budget (Current Expense + Capital)" dataDxfId="81" totalsRowDxfId="80"/>
    <tableColumn id="28" xr3:uid="{00000000-0010-0000-0000-00001C000000}" name="FY2016 Total Expenditures" dataDxfId="79" totalsRowDxfId="78"/>
    <tableColumn id="34" xr3:uid="{00000000-0010-0000-0000-000022000000}" name="FY2016 State Public School Fund Revenues" dataDxfId="77" totalsRowDxfId="76"/>
    <tableColumn id="35" xr3:uid="{00000000-0010-0000-0000-000023000000}" name="FY2016 Federal Grant Revenues" dataDxfId="75" totalsRowDxfId="74"/>
    <tableColumn id="6" xr3:uid="{00000000-0010-0000-0000-000006000000}" name="Current Expense Per ADM  (FY2017)" totalsRowFunction="custom" dataDxfId="73" totalsRowDxfId="72">
      <totalsRowFormula>MEDIAN(Table1[Current Expense Per ADM  (FY2017)])</totalsRowFormula>
    </tableColumn>
    <tableColumn id="24" xr3:uid="{00000000-0010-0000-0000-000018000000}" name="Capital Outlay FY2017" dataDxfId="71" totalsRowDxfId="70"/>
    <tableColumn id="27" xr3:uid="{00000000-0010-0000-0000-00001B000000}" name="Total Current Expense+Cap Per '17 M1 ADM" totalsRowFunction="custom" dataDxfId="69" totalsRowDxfId="68">
      <calculatedColumnFormula>Table1[[#This Row],[Total FY 2017 Local Budget (Current Expense + Capital)]]/Table1[[#This Row],[M-1 ADM FY2017]]</calculatedColumnFormula>
      <totalsRowFormula>MEDIAN(Table1[Total Current Expense+Cap Per ''17 M1 ADM])</totalsRowFormula>
    </tableColumn>
    <tableColumn id="26" xr3:uid="{00000000-0010-0000-0000-00001A000000}" name="Annual Capital Outlay Per ADM" totalsRowFunction="custom" dataDxfId="67" totalsRowDxfId="66">
      <calculatedColumnFormula>Table1[[#This Row],[Capital Outlay FY2017]]/Table1[[#This Row],[M-1 ADM FY2017]]</calculatedColumnFormula>
      <totalsRowFormula>MEDIAN(Table1[Annual Capital Outlay Per ADM])</totalsRowFormula>
    </tableColumn>
    <tableColumn id="33" xr3:uid="{00000000-0010-0000-0000-000021000000}" name="FY2017 Annual Capital Outlay per Facility" totalsRowFunction="custom" dataDxfId="65" totalsRowDxfId="64">
      <calculatedColumnFormula>Table1[[#This Row],[Capital Outlay FY2017]]/Table1[[#This Row],[Total Schools]]</calculatedColumnFormula>
      <totalsRowFormula>MEDIAN(Table1[FY2017 Annual Capital Outlay per Facility])</totalsRowFormula>
    </tableColumn>
    <tableColumn id="31" xr3:uid="{00000000-0010-0000-0000-00001F000000}" name="Total Expense By # of Schools" totalsRowFunction="custom" dataDxfId="63" totalsRowDxfId="62">
      <calculatedColumnFormula>Table1[[#This Row],[FY2016 Total Expenditures]]/Table1[[#This Row],[Total Schools]]</calculatedColumnFormula>
      <totalsRowFormula>MEDIAN(Table1[Total Expense By '# of Schools])</totalsRowFormula>
    </tableColumn>
    <tableColumn id="39" xr3:uid="{00000000-0010-0000-0000-000027000000}" name="Local Budget By # of Schools" dataDxfId="61" totalsRowDxfId="60">
      <calculatedColumnFormula>Table1[[#This Row],[Total FY 2017 Local Budget (Current Expense + Capital)]]/Table1[[#This Row],[Total Schools]]</calculatedColumnFormula>
    </tableColumn>
    <tableColumn id="29" xr3:uid="{00000000-0010-0000-0000-00001D000000}" name="Total Expense Per ADM (H by E)" totalsRowFunction="custom" dataDxfId="59" totalsRowDxfId="58">
      <calculatedColumnFormula>Table1[[#This Row],[FY2016 Total Expenditures]]/Table1[[#This Row],[M-1 ADM FY2017]]</calculatedColumnFormula>
      <totalsRowFormula>MEDIAN(Table1[Total Expense Per ADM (H by E)])</totalsRowFormula>
    </tableColumn>
    <tableColumn id="36" xr3:uid="{00000000-0010-0000-0000-000024000000}" name="FY 2016 State Public School Fund Revenues by ADM" totalsRowFunction="custom" dataDxfId="57" totalsRowDxfId="56">
      <calculatedColumnFormula>Table1[[#This Row],[FY2016 State Public School Fund Revenues]]/Table1[[#This Row],[M-1 ADM FY2017]]</calculatedColumnFormula>
      <totalsRowFormula>MEDIAN(Table1[FY 2016 State Public School Fund Revenues by ADM])</totalsRowFormula>
    </tableColumn>
    <tableColumn id="37" xr3:uid="{00000000-0010-0000-0000-000025000000}" name="FY2016 Federal Grant Fund by ADM" totalsRowFunction="custom" dataDxfId="55" totalsRowDxfId="54">
      <calculatedColumnFormula>Table1[[#This Row],[FY2016 Federal Grant Revenues]]/Table1[[#This Row],[M-1 ADM FY2017]]</calculatedColumnFormula>
      <totalsRowFormula>MEDIAN(Table1[FY2016 Federal Grant Fund by ADM])</totalsRowFormula>
    </tableColumn>
    <tableColumn id="7" xr3:uid="{00000000-0010-0000-0000-000007000000}" name="Self Reported Facility Needs Survey FY2016" dataDxfId="53" totalsRowDxfId="52"/>
    <tableColumn id="10" xr3:uid="{00000000-0010-0000-0000-00000A000000}" name=" Facility Needs Per ADM (G divided by E)" dataDxfId="51" totalsRowDxfId="50">
      <calculatedColumnFormula>T2/E2</calculatedColumnFormula>
    </tableColumn>
    <tableColumn id="16" xr3:uid="{00000000-0010-0000-0000-000010000000}" name="Facility Needs by Number of Facilities" dataDxfId="49" totalsRowDxfId="48">
      <calculatedColumnFormula>T2/AJ2</calculatedColumnFormula>
    </tableColumn>
    <tableColumn id="9" xr3:uid="{00000000-0010-0000-0000-000009000000}" name="Most Recent School Construction" dataDxfId="47" totalsRowDxfId="46"/>
    <tableColumn id="17" xr3:uid="{00000000-0010-0000-0000-000011000000}" name="Most Recent Successful GDO Bond Referendum for Schools" dataDxfId="45" totalsRowDxfId="44"/>
    <tableColumn id="18" xr3:uid="{00000000-0010-0000-0000-000012000000}" name="Debt Issued in Most Recent Bond Sale" dataDxfId="43" totalsRowDxfId="42"/>
    <tableColumn id="19" xr3:uid="{00000000-0010-0000-0000-000013000000}" name="Most Recent Alternative Financing (COPS, QZAB, QSCB)" dataDxfId="41" totalsRowDxfId="40"/>
    <tableColumn id="20" xr3:uid="{00000000-0010-0000-0000-000014000000}" name="Debt Issued in Alt Financing" dataDxfId="39" totalsRowDxfId="38"/>
    <tableColumn id="32" xr3:uid="{00000000-0010-0000-0000-000020000000}" name="Immediate Prior Bond Referendum (if applicable) post 1995" dataDxfId="37"/>
    <tableColumn id="21" xr3:uid="{00000000-0010-0000-0000-000015000000}" name="Annual Debt Service on Schools Only As Of FY2017" dataDxfId="36" totalsRowDxfId="35"/>
    <tableColumn id="22" xr3:uid="{00000000-0010-0000-0000-000016000000}" name="Annual Debt Service on Schools by Number of Facilities" dataDxfId="34" totalsRowDxfId="33">
      <calculatedColumnFormula>Table1[[#This Row],[Annual Debt Service on Schools Only As Of FY2017]]/Table1[[#This Row],[Total Schools]]</calculatedColumnFormula>
    </tableColumn>
    <tableColumn id="23" xr3:uid="{00000000-0010-0000-0000-000017000000}" name="Annual Debt Service by ADM" totalsRowFunction="custom" dataDxfId="32" totalsRowDxfId="31">
      <calculatedColumnFormula>Table1[[#This Row],[Annual Debt Service on Schools Only As Of FY2017]]/Table1[[#This Row],[M-1 ADM FY2017]]</calculatedColumnFormula>
      <totalsRowFormula>AVERAGE(Table1[Annual Debt Service by ADM])</totalsRowFormula>
    </tableColumn>
    <tableColumn id="11" xr3:uid="{00000000-0010-0000-0000-00000B000000}" name="High Schools" dataDxfId="30"/>
    <tableColumn id="12" xr3:uid="{00000000-0010-0000-0000-00000C000000}" name="Middle Schools" dataDxfId="29"/>
    <tableColumn id="13" xr3:uid="{00000000-0010-0000-0000-00000D000000}" name="Elementary Schools" dataDxfId="28"/>
    <tableColumn id="14" xr3:uid="{00000000-0010-0000-0000-00000E000000}" name="Alternative Schools" dataDxfId="27"/>
    <tableColumn id="15" xr3:uid="{00000000-0010-0000-0000-00000F000000}" name="Total Schools" dataDxfId="26">
      <calculatedColumnFormula>SUM(AF2:AI2)</calculatedColumnFormula>
    </tableColumn>
    <tableColumn id="30" xr3:uid="{00000000-0010-0000-0000-00001E000000}" name="ADM to Schools Ratio" totalsRowFunction="custom" dataDxfId="25" totalsRowDxfId="24">
      <calculatedColumnFormula>Table1[[#This Row],[M-1 ADM FY2017]]/Table1[[#This Row],[Total Schools]]</calculatedColumnFormula>
      <totalsRowFormula>MEDIAN(Table1[ADM to Schools Ratio])</totalsRow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K20" totalsRowShown="0" headerRowDxfId="23" dataDxfId="22">
  <autoFilter ref="A1:K20" xr:uid="{00000000-0009-0000-0100-000004000000}"/>
  <sortState ref="A2:K20">
    <sortCondition ref="D1:D20"/>
  </sortState>
  <tableColumns count="11">
    <tableColumn id="1" xr3:uid="{00000000-0010-0000-0100-000001000000}" name="Counties / School System" dataDxfId="21"/>
    <tableColumn id="2" xr3:uid="{00000000-0010-0000-0100-000002000000}" name="Designation" dataDxfId="20"/>
    <tableColumn id="3" xr3:uid="{00000000-0010-0000-0100-000003000000}" name="M-1 ADM FY2017" dataDxfId="19"/>
    <tableColumn id="9" xr3:uid="{00000000-0010-0000-0100-000009000000}" name="Total Schools" dataDxfId="18"/>
    <tableColumn id="4" xr3:uid="{00000000-0010-0000-0100-000004000000}" name="Total FY 2017 Local Budget (Current Expense + Capital)" dataDxfId="17"/>
    <tableColumn id="5" xr3:uid="{00000000-0010-0000-0100-000005000000}" name="Property Tax Rate FY17 (per $100)" dataDxfId="16"/>
    <tableColumn id="6" xr3:uid="{00000000-0010-0000-0100-000006000000}" name="Assessed Value FY17" dataDxfId="15"/>
    <tableColumn id="10" xr3:uid="{00000000-0010-0000-0100-00000A000000}" name="Assessed Valuation by ADM" dataDxfId="14">
      <calculatedColumnFormula>Table4[[#This Row],[Assessed Value FY17]]/Table4[[#This Row],[M-1 ADM FY2017]]</calculatedColumnFormula>
    </tableColumn>
    <tableColumn id="11" xr3:uid="{00000000-0010-0000-0100-00000B000000}" name="Assessed Valuation by Number of Schools" dataDxfId="13">
      <calculatedColumnFormula>Table4[[#This Row],[Assessed Value FY17]]/Table4[[#This Row],[Total Schools]]</calculatedColumnFormula>
    </tableColumn>
    <tableColumn id="7" xr3:uid="{00000000-0010-0000-0100-000007000000}" name="Article 46 Referendum Successful?" dataDxfId="12"/>
    <tableColumn id="8" xr3:uid="{00000000-0010-0000-0100-000008000000}" name="Purpose of Article 46 Referendum" dataDxfId="11"/>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2:D202" totalsRowCount="1" headerRowDxfId="10" dataDxfId="9" tableBorderDxfId="8">
  <autoFilter ref="A2:D201" xr:uid="{00000000-0009-0000-0100-000002000000}"/>
  <sortState ref="A3:D201">
    <sortCondition descending="1" ref="D2:D201"/>
  </sortState>
  <tableColumns count="4">
    <tableColumn id="1" xr3:uid="{00000000-0010-0000-0200-000001000000}" name="FY" dataDxfId="7" totalsRowDxfId="6"/>
    <tableColumn id="3" xr3:uid="{00000000-0010-0000-0200-000003000000}" name="School" dataDxfId="5" totalsRowDxfId="4"/>
    <tableColumn id="8" xr3:uid="{00000000-0010-0000-0200-000008000000}" name="Project(s)" dataDxfId="3" totalsRowDxfId="2"/>
    <tableColumn id="4" xr3:uid="{00000000-0010-0000-0200-000004000000}" name="Cost"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choolclearinghouse.org/pubs/LocalBondsSince95_for%20web.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acc.org/192/Budget-Tax-Survey" TargetMode="External"/><Relationship Id="rId2" Type="http://schemas.openxmlformats.org/officeDocument/2006/relationships/hyperlink" Target="http://www.ncpublicschools.org/fbs/accounting/data/" TargetMode="External"/><Relationship Id="rId1" Type="http://schemas.openxmlformats.org/officeDocument/2006/relationships/hyperlink" Target="http://www.schoolclearinghouse.org/pubs/default.as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topLeftCell="A13" workbookViewId="0">
      <selection activeCell="L17" sqref="L17"/>
    </sheetView>
  </sheetViews>
  <sheetFormatPr defaultRowHeight="15" x14ac:dyDescent="0.25"/>
  <cols>
    <col min="11" max="11" width="7" customWidth="1"/>
    <col min="12" max="12" width="6.5703125" customWidth="1"/>
  </cols>
  <sheetData>
    <row r="1" spans="1:14" x14ac:dyDescent="0.25">
      <c r="A1" s="236" t="s">
        <v>392</v>
      </c>
      <c r="B1" s="236"/>
      <c r="C1" s="236"/>
      <c r="D1" s="236"/>
      <c r="E1" s="236"/>
      <c r="F1" s="236"/>
      <c r="G1" s="236"/>
      <c r="H1" s="236"/>
      <c r="I1" s="236"/>
      <c r="J1" s="236"/>
      <c r="K1" s="236"/>
      <c r="L1" s="236"/>
      <c r="M1" s="236"/>
      <c r="N1" s="236"/>
    </row>
    <row r="2" spans="1:14" x14ac:dyDescent="0.25">
      <c r="A2" s="237" t="s">
        <v>394</v>
      </c>
      <c r="B2" s="237"/>
      <c r="C2" s="237"/>
      <c r="D2" s="237"/>
      <c r="E2" s="237"/>
      <c r="F2" s="237"/>
      <c r="G2" s="237"/>
      <c r="H2" s="237"/>
      <c r="I2" s="237"/>
      <c r="J2" s="237"/>
      <c r="K2" s="237"/>
      <c r="L2" s="237"/>
      <c r="M2" s="237"/>
      <c r="N2" s="237"/>
    </row>
    <row r="3" spans="1:14" x14ac:dyDescent="0.25">
      <c r="A3" s="237"/>
      <c r="B3" s="237"/>
      <c r="C3" s="237"/>
      <c r="D3" s="237"/>
      <c r="E3" s="237"/>
      <c r="F3" s="237"/>
      <c r="G3" s="237"/>
      <c r="H3" s="237"/>
      <c r="I3" s="237"/>
      <c r="J3" s="237"/>
      <c r="K3" s="237"/>
      <c r="L3" s="237"/>
      <c r="M3" s="237"/>
      <c r="N3" s="237"/>
    </row>
    <row r="4" spans="1:14" x14ac:dyDescent="0.25">
      <c r="A4" s="237"/>
      <c r="B4" s="237"/>
      <c r="C4" s="237"/>
      <c r="D4" s="237"/>
      <c r="E4" s="237"/>
      <c r="F4" s="237"/>
      <c r="G4" s="237"/>
      <c r="H4" s="237"/>
      <c r="I4" s="237"/>
      <c r="J4" s="237"/>
      <c r="K4" s="237"/>
      <c r="L4" s="237"/>
      <c r="M4" s="237"/>
      <c r="N4" s="237"/>
    </row>
    <row r="5" spans="1:14" x14ac:dyDescent="0.25">
      <c r="A5" s="236" t="s">
        <v>393</v>
      </c>
      <c r="B5" s="236"/>
      <c r="C5" s="236"/>
      <c r="D5" s="236"/>
      <c r="E5" s="236"/>
      <c r="F5" s="236"/>
      <c r="G5" s="236"/>
      <c r="H5" s="236"/>
      <c r="I5" s="236"/>
      <c r="J5" s="236"/>
      <c r="K5" s="236"/>
      <c r="L5" s="236"/>
      <c r="M5" s="236"/>
      <c r="N5" s="236"/>
    </row>
    <row r="6" spans="1:14" x14ac:dyDescent="0.25">
      <c r="A6" s="237" t="s">
        <v>395</v>
      </c>
      <c r="B6" s="237"/>
      <c r="C6" s="237"/>
      <c r="D6" s="237"/>
      <c r="E6" s="237"/>
      <c r="F6" s="237"/>
      <c r="G6" s="237"/>
      <c r="H6" s="237"/>
      <c r="I6" s="237"/>
      <c r="J6" s="237"/>
      <c r="K6" s="237"/>
      <c r="L6" s="237"/>
      <c r="M6" s="237"/>
      <c r="N6" s="237"/>
    </row>
    <row r="7" spans="1:14" x14ac:dyDescent="0.25">
      <c r="A7" s="237"/>
      <c r="B7" s="237"/>
      <c r="C7" s="237"/>
      <c r="D7" s="237"/>
      <c r="E7" s="237"/>
      <c r="F7" s="237"/>
      <c r="G7" s="237"/>
      <c r="H7" s="237"/>
      <c r="I7" s="237"/>
      <c r="J7" s="237"/>
      <c r="K7" s="237"/>
      <c r="L7" s="237"/>
      <c r="M7" s="237"/>
      <c r="N7" s="237"/>
    </row>
    <row r="8" spans="1:14" x14ac:dyDescent="0.25">
      <c r="A8" s="237"/>
      <c r="B8" s="237"/>
      <c r="C8" s="237"/>
      <c r="D8" s="237"/>
      <c r="E8" s="237"/>
      <c r="F8" s="237"/>
      <c r="G8" s="237"/>
      <c r="H8" s="237"/>
      <c r="I8" s="237"/>
      <c r="J8" s="237"/>
      <c r="K8" s="237"/>
      <c r="L8" s="237"/>
      <c r="M8" s="237"/>
      <c r="N8" s="237"/>
    </row>
    <row r="9" spans="1:14" x14ac:dyDescent="0.25">
      <c r="A9" s="236" t="s">
        <v>396</v>
      </c>
      <c r="B9" s="236"/>
      <c r="C9" s="236"/>
      <c r="D9" s="236"/>
      <c r="E9" s="236"/>
      <c r="F9" s="236"/>
      <c r="G9" s="236"/>
      <c r="H9" s="236"/>
      <c r="I9" s="236"/>
      <c r="J9" s="236"/>
      <c r="K9" s="236"/>
      <c r="L9" s="236"/>
      <c r="M9" s="236"/>
      <c r="N9" s="236"/>
    </row>
    <row r="10" spans="1:14" x14ac:dyDescent="0.25">
      <c r="A10" s="237" t="s">
        <v>397</v>
      </c>
      <c r="B10" s="237"/>
      <c r="C10" s="237"/>
      <c r="D10" s="237"/>
      <c r="E10" s="237"/>
      <c r="F10" s="237"/>
      <c r="G10" s="237"/>
      <c r="H10" s="237"/>
      <c r="I10" s="237"/>
      <c r="J10" s="237"/>
      <c r="K10" s="237"/>
      <c r="L10" s="237"/>
      <c r="M10" s="237"/>
      <c r="N10" s="237"/>
    </row>
    <row r="11" spans="1:14" x14ac:dyDescent="0.25">
      <c r="A11" s="237"/>
      <c r="B11" s="237"/>
      <c r="C11" s="237"/>
      <c r="D11" s="237"/>
      <c r="E11" s="237"/>
      <c r="F11" s="237"/>
      <c r="G11" s="237"/>
      <c r="H11" s="237"/>
      <c r="I11" s="237"/>
      <c r="J11" s="237"/>
      <c r="K11" s="237"/>
      <c r="L11" s="237"/>
      <c r="M11" s="237"/>
      <c r="N11" s="237"/>
    </row>
    <row r="12" spans="1:14" x14ac:dyDescent="0.25">
      <c r="A12" s="237"/>
      <c r="B12" s="237"/>
      <c r="C12" s="237"/>
      <c r="D12" s="237"/>
      <c r="E12" s="237"/>
      <c r="F12" s="237"/>
      <c r="G12" s="237"/>
      <c r="H12" s="237"/>
      <c r="I12" s="237"/>
      <c r="J12" s="237"/>
      <c r="K12" s="237"/>
      <c r="L12" s="237"/>
      <c r="M12" s="237"/>
      <c r="N12" s="237"/>
    </row>
    <row r="13" spans="1:14" x14ac:dyDescent="0.25">
      <c r="A13" s="236" t="s">
        <v>398</v>
      </c>
      <c r="B13" s="236"/>
      <c r="C13" s="236"/>
      <c r="D13" s="236"/>
      <c r="E13" s="236"/>
      <c r="F13" s="236"/>
      <c r="G13" s="236"/>
      <c r="H13" s="236"/>
      <c r="I13" s="236"/>
      <c r="J13" s="236"/>
      <c r="K13" s="236"/>
      <c r="L13" s="236"/>
      <c r="M13" s="236"/>
      <c r="N13" s="236"/>
    </row>
    <row r="14" spans="1:14" x14ac:dyDescent="0.25">
      <c r="A14" s="237" t="s">
        <v>404</v>
      </c>
      <c r="B14" s="237"/>
      <c r="C14" s="237"/>
      <c r="D14" s="237"/>
      <c r="E14" s="237"/>
      <c r="F14" s="237"/>
      <c r="G14" s="237"/>
      <c r="H14" s="237"/>
      <c r="I14" s="237"/>
      <c r="J14" s="237"/>
      <c r="K14" s="237"/>
      <c r="L14" s="237"/>
      <c r="M14" s="237"/>
      <c r="N14" s="237"/>
    </row>
    <row r="15" spans="1:14" x14ac:dyDescent="0.25">
      <c r="A15" s="237"/>
      <c r="B15" s="237"/>
      <c r="C15" s="237"/>
      <c r="D15" s="237"/>
      <c r="E15" s="237"/>
      <c r="F15" s="237"/>
      <c r="G15" s="237"/>
      <c r="H15" s="237"/>
      <c r="I15" s="237"/>
      <c r="J15" s="237"/>
      <c r="K15" s="237"/>
      <c r="L15" s="237"/>
      <c r="M15" s="237"/>
      <c r="N15" s="237"/>
    </row>
    <row r="16" spans="1:14" x14ac:dyDescent="0.25">
      <c r="A16" s="237"/>
      <c r="B16" s="237"/>
      <c r="C16" s="237"/>
      <c r="D16" s="237"/>
      <c r="E16" s="237"/>
      <c r="F16" s="237"/>
      <c r="G16" s="237"/>
      <c r="H16" s="237"/>
      <c r="I16" s="237"/>
      <c r="J16" s="237"/>
      <c r="K16" s="237"/>
      <c r="L16" s="237"/>
      <c r="M16" s="237"/>
      <c r="N16" s="237"/>
    </row>
    <row r="17" spans="1:14" x14ac:dyDescent="0.25">
      <c r="A17" s="135" t="s">
        <v>399</v>
      </c>
      <c r="B17" s="136"/>
      <c r="C17" s="136"/>
      <c r="D17" s="136"/>
      <c r="E17" s="136"/>
      <c r="F17" s="136"/>
      <c r="G17" s="136"/>
      <c r="H17" s="136"/>
      <c r="I17" s="136"/>
      <c r="J17" s="136"/>
      <c r="K17" s="136"/>
      <c r="L17" s="136"/>
      <c r="M17" s="136"/>
      <c r="N17" s="136"/>
    </row>
    <row r="18" spans="1:14" x14ac:dyDescent="0.25">
      <c r="A18" s="238" t="s">
        <v>405</v>
      </c>
      <c r="B18" s="239"/>
      <c r="C18" s="239"/>
      <c r="D18" s="239"/>
      <c r="E18" s="239"/>
      <c r="F18" s="239"/>
      <c r="G18" s="239"/>
      <c r="H18" s="239"/>
      <c r="I18" s="239"/>
      <c r="J18" s="239"/>
      <c r="K18" s="239"/>
      <c r="L18" s="239"/>
      <c r="M18" s="239"/>
      <c r="N18" s="239"/>
    </row>
    <row r="19" spans="1:14" x14ac:dyDescent="0.25">
      <c r="A19" s="239"/>
      <c r="B19" s="239"/>
      <c r="C19" s="239"/>
      <c r="D19" s="239"/>
      <c r="E19" s="239"/>
      <c r="F19" s="239"/>
      <c r="G19" s="239"/>
      <c r="H19" s="239"/>
      <c r="I19" s="239"/>
      <c r="J19" s="239"/>
      <c r="K19" s="239"/>
      <c r="L19" s="239"/>
      <c r="M19" s="239"/>
      <c r="N19" s="239"/>
    </row>
    <row r="20" spans="1:14" x14ac:dyDescent="0.25">
      <c r="A20" s="239"/>
      <c r="B20" s="239"/>
      <c r="C20" s="239"/>
      <c r="D20" s="239"/>
      <c r="E20" s="239"/>
      <c r="F20" s="239"/>
      <c r="G20" s="239"/>
      <c r="H20" s="239"/>
      <c r="I20" s="239"/>
      <c r="J20" s="239"/>
      <c r="K20" s="239"/>
      <c r="L20" s="239"/>
      <c r="M20" s="239"/>
      <c r="N20" s="239"/>
    </row>
    <row r="21" spans="1:14" x14ac:dyDescent="0.25">
      <c r="A21" s="236" t="s">
        <v>400</v>
      </c>
      <c r="B21" s="236"/>
      <c r="C21" s="236"/>
      <c r="D21" s="236"/>
      <c r="E21" s="236"/>
      <c r="F21" s="236"/>
      <c r="G21" s="236"/>
      <c r="H21" s="236"/>
      <c r="I21" s="236"/>
      <c r="J21" s="236"/>
      <c r="K21" s="236"/>
      <c r="L21" s="236"/>
      <c r="M21" s="236"/>
      <c r="N21" s="236"/>
    </row>
    <row r="22" spans="1:14" x14ac:dyDescent="0.25">
      <c r="A22" s="241" t="s">
        <v>406</v>
      </c>
      <c r="B22" s="241"/>
      <c r="C22" s="241"/>
      <c r="D22" s="241"/>
      <c r="E22" s="241"/>
      <c r="F22" s="241"/>
      <c r="G22" s="241"/>
      <c r="H22" s="241"/>
      <c r="I22" s="241"/>
      <c r="J22" s="241"/>
      <c r="K22" s="241"/>
      <c r="L22" s="241"/>
      <c r="M22" s="241"/>
      <c r="N22" s="241"/>
    </row>
    <row r="23" spans="1:14" x14ac:dyDescent="0.25">
      <c r="A23" s="241"/>
      <c r="B23" s="241"/>
      <c r="C23" s="241"/>
      <c r="D23" s="241"/>
      <c r="E23" s="241"/>
      <c r="F23" s="241"/>
      <c r="G23" s="241"/>
      <c r="H23" s="241"/>
      <c r="I23" s="241"/>
      <c r="J23" s="241"/>
      <c r="K23" s="241"/>
      <c r="L23" s="241"/>
      <c r="M23" s="241"/>
      <c r="N23" s="241"/>
    </row>
    <row r="24" spans="1:14" x14ac:dyDescent="0.25">
      <c r="A24" s="241"/>
      <c r="B24" s="241"/>
      <c r="C24" s="241"/>
      <c r="D24" s="241"/>
      <c r="E24" s="241"/>
      <c r="F24" s="241"/>
      <c r="G24" s="241"/>
      <c r="H24" s="241"/>
      <c r="I24" s="241"/>
      <c r="J24" s="241"/>
      <c r="K24" s="241"/>
      <c r="L24" s="241"/>
      <c r="M24" s="241"/>
      <c r="N24" s="241"/>
    </row>
    <row r="25" spans="1:14" x14ac:dyDescent="0.25">
      <c r="A25" s="236" t="s">
        <v>401</v>
      </c>
      <c r="B25" s="236"/>
      <c r="C25" s="236"/>
      <c r="D25" s="236"/>
      <c r="E25" s="236"/>
      <c r="F25" s="236"/>
      <c r="G25" s="236"/>
      <c r="H25" s="236"/>
      <c r="I25" s="236"/>
      <c r="J25" s="236"/>
      <c r="K25" s="236"/>
      <c r="L25" s="236"/>
      <c r="M25" s="236"/>
      <c r="N25" s="236"/>
    </row>
    <row r="26" spans="1:14" x14ac:dyDescent="0.25">
      <c r="A26" s="237" t="s">
        <v>407</v>
      </c>
      <c r="B26" s="237"/>
      <c r="C26" s="237"/>
      <c r="D26" s="237"/>
      <c r="E26" s="237"/>
      <c r="F26" s="237"/>
      <c r="G26" s="237"/>
      <c r="H26" s="237"/>
      <c r="I26" s="237"/>
      <c r="J26" s="237"/>
      <c r="K26" s="237"/>
      <c r="L26" s="237"/>
      <c r="M26" s="237"/>
      <c r="N26" s="237"/>
    </row>
    <row r="27" spans="1:14" x14ac:dyDescent="0.25">
      <c r="A27" s="237"/>
      <c r="B27" s="237"/>
      <c r="C27" s="237"/>
      <c r="D27" s="237"/>
      <c r="E27" s="237"/>
      <c r="F27" s="237"/>
      <c r="G27" s="237"/>
      <c r="H27" s="237"/>
      <c r="I27" s="237"/>
      <c r="J27" s="237"/>
      <c r="K27" s="237"/>
      <c r="L27" s="237"/>
      <c r="M27" s="237"/>
      <c r="N27" s="237"/>
    </row>
    <row r="28" spans="1:14" x14ac:dyDescent="0.25">
      <c r="A28" s="237"/>
      <c r="B28" s="237"/>
      <c r="C28" s="237"/>
      <c r="D28" s="237"/>
      <c r="E28" s="237"/>
      <c r="F28" s="237"/>
      <c r="G28" s="237"/>
      <c r="H28" s="237"/>
      <c r="I28" s="237"/>
      <c r="J28" s="237"/>
      <c r="K28" s="237"/>
      <c r="L28" s="237"/>
      <c r="M28" s="237"/>
      <c r="N28" s="237"/>
    </row>
    <row r="29" spans="1:14" x14ac:dyDescent="0.25">
      <c r="A29" s="236" t="s">
        <v>402</v>
      </c>
      <c r="B29" s="236"/>
      <c r="C29" s="236"/>
      <c r="D29" s="236"/>
      <c r="E29" s="236"/>
      <c r="F29" s="236"/>
      <c r="G29" s="236"/>
      <c r="H29" s="236"/>
      <c r="I29" s="236"/>
      <c r="J29" s="236"/>
      <c r="K29" s="236"/>
      <c r="L29" s="236"/>
      <c r="M29" s="236"/>
      <c r="N29" s="236"/>
    </row>
    <row r="30" spans="1:14" x14ac:dyDescent="0.25">
      <c r="A30" s="242" t="s">
        <v>408</v>
      </c>
      <c r="B30" s="242"/>
      <c r="C30" s="242"/>
      <c r="D30" s="242"/>
      <c r="E30" s="242"/>
      <c r="F30" s="242"/>
      <c r="G30" s="242"/>
      <c r="H30" s="242"/>
      <c r="I30" s="242"/>
      <c r="J30" s="242"/>
      <c r="K30" s="242"/>
      <c r="L30" s="242"/>
      <c r="M30" s="242"/>
      <c r="N30" s="242"/>
    </row>
    <row r="31" spans="1:14" x14ac:dyDescent="0.25">
      <c r="A31" s="242"/>
      <c r="B31" s="242"/>
      <c r="C31" s="242"/>
      <c r="D31" s="242"/>
      <c r="E31" s="242"/>
      <c r="F31" s="242"/>
      <c r="G31" s="242"/>
      <c r="H31" s="242"/>
      <c r="I31" s="242"/>
      <c r="J31" s="242"/>
      <c r="K31" s="242"/>
      <c r="L31" s="242"/>
      <c r="M31" s="242"/>
      <c r="N31" s="242"/>
    </row>
    <row r="32" spans="1:14" x14ac:dyDescent="0.25">
      <c r="A32" s="242"/>
      <c r="B32" s="242"/>
      <c r="C32" s="242"/>
      <c r="D32" s="242"/>
      <c r="E32" s="242"/>
      <c r="F32" s="242"/>
      <c r="G32" s="242"/>
      <c r="H32" s="242"/>
      <c r="I32" s="242"/>
      <c r="J32" s="242"/>
      <c r="K32" s="242"/>
      <c r="L32" s="242"/>
      <c r="M32" s="242"/>
      <c r="N32" s="242"/>
    </row>
    <row r="33" spans="1:14" x14ac:dyDescent="0.25">
      <c r="A33" s="236" t="s">
        <v>403</v>
      </c>
      <c r="B33" s="236"/>
      <c r="C33" s="236"/>
      <c r="D33" s="236"/>
      <c r="E33" s="236"/>
      <c r="F33" s="236"/>
      <c r="G33" s="236"/>
      <c r="H33" s="236"/>
      <c r="I33" s="236"/>
      <c r="J33" s="236"/>
      <c r="K33" s="236"/>
      <c r="L33" s="236"/>
      <c r="M33" s="236"/>
      <c r="N33" s="236"/>
    </row>
    <row r="34" spans="1:14" x14ac:dyDescent="0.25">
      <c r="A34" s="240" t="s">
        <v>409</v>
      </c>
      <c r="B34" s="240"/>
      <c r="C34" s="240"/>
      <c r="D34" s="240"/>
      <c r="E34" s="240"/>
      <c r="F34" s="240"/>
      <c r="G34" s="240"/>
      <c r="H34" s="240"/>
      <c r="I34" s="240"/>
      <c r="J34" s="240"/>
      <c r="K34" s="240"/>
      <c r="L34" s="240"/>
      <c r="M34" s="240"/>
      <c r="N34" s="240"/>
    </row>
    <row r="35" spans="1:14" x14ac:dyDescent="0.25">
      <c r="A35" s="237"/>
      <c r="B35" s="237"/>
      <c r="C35" s="237"/>
      <c r="D35" s="237"/>
      <c r="E35" s="237"/>
      <c r="F35" s="237"/>
      <c r="G35" s="237"/>
      <c r="H35" s="237"/>
      <c r="I35" s="237"/>
      <c r="J35" s="237"/>
      <c r="K35" s="237"/>
      <c r="L35" s="237"/>
      <c r="M35" s="237"/>
      <c r="N35" s="237"/>
    </row>
    <row r="36" spans="1:14" x14ac:dyDescent="0.25">
      <c r="A36" s="237"/>
      <c r="B36" s="237"/>
      <c r="C36" s="237"/>
      <c r="D36" s="237"/>
      <c r="E36" s="237"/>
      <c r="F36" s="237"/>
      <c r="G36" s="237"/>
      <c r="H36" s="237"/>
      <c r="I36" s="237"/>
      <c r="J36" s="237"/>
      <c r="K36" s="237"/>
      <c r="L36" s="237"/>
      <c r="M36" s="237"/>
      <c r="N36" s="237"/>
    </row>
  </sheetData>
  <sheetProtection algorithmName="SHA-512" hashValue="4IBwNmDyAVfsvt7HVxs9SxM/EoFf+W4//bmklD1PN4ErUmcorU1Igl9bx3HRUAwL7Ann5WYvQ7waC3dWeOHBOQ==" saltValue="F8k+zi8/Zrjm6LObomWL/w==" spinCount="100000" sheet="1" objects="1" scenarios="1" selectLockedCells="1" selectUnlockedCells="1"/>
  <mergeCells count="17">
    <mergeCell ref="A34:N36"/>
    <mergeCell ref="A22:N24"/>
    <mergeCell ref="A26:N28"/>
    <mergeCell ref="A30:N32"/>
    <mergeCell ref="A33:N33"/>
    <mergeCell ref="A29:N29"/>
    <mergeCell ref="A25:N25"/>
    <mergeCell ref="A21:N21"/>
    <mergeCell ref="A13:N13"/>
    <mergeCell ref="A9:N9"/>
    <mergeCell ref="A5:N5"/>
    <mergeCell ref="A1:N1"/>
    <mergeCell ref="A2:N4"/>
    <mergeCell ref="A6:N8"/>
    <mergeCell ref="A10:N12"/>
    <mergeCell ref="A14:N16"/>
    <mergeCell ref="A18:N20"/>
  </mergeCells>
  <hyperlinks>
    <hyperlink ref="A30:N32" r:id="rId1" display="While the School System has not settled on a total for funds it hopes to seek in a potential bond referendum, one number that been previously circulated is the number of 93 million. I compared it to bond referenda from other communities through informatio" xr:uid="{00000000-0004-0000-0000-000000000000}"/>
  </hyperlinks>
  <pageMargins left="0.7" right="0.7" top="0.75" bottom="0.75" header="0.3" footer="0.3"/>
  <pageSetup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5"/>
  <sheetViews>
    <sheetView zoomScale="130" zoomScaleNormal="130" workbookViewId="0">
      <selection activeCell="A21" sqref="A21"/>
    </sheetView>
  </sheetViews>
  <sheetFormatPr defaultRowHeight="15" x14ac:dyDescent="0.25"/>
  <cols>
    <col min="1" max="1" width="14.85546875" customWidth="1"/>
    <col min="2" max="2" width="12.7109375" customWidth="1"/>
    <col min="3" max="3" width="12.5703125" customWidth="1"/>
    <col min="4" max="4" width="16" customWidth="1"/>
    <col min="6" max="6" width="11.140625" customWidth="1"/>
    <col min="7" max="7" width="25.140625" customWidth="1"/>
  </cols>
  <sheetData>
    <row r="1" spans="1:9" x14ac:dyDescent="0.25">
      <c r="A1" t="s">
        <v>311</v>
      </c>
    </row>
    <row r="2" spans="1:9" x14ac:dyDescent="0.25">
      <c r="A2" s="7" t="s">
        <v>2</v>
      </c>
      <c r="B2" s="7" t="s">
        <v>135</v>
      </c>
      <c r="C2" s="7" t="s">
        <v>136</v>
      </c>
      <c r="D2" s="21" t="s">
        <v>137</v>
      </c>
      <c r="E2" s="7" t="s">
        <v>313</v>
      </c>
      <c r="F2" s="7" t="s">
        <v>352</v>
      </c>
      <c r="G2" s="7" t="s">
        <v>357</v>
      </c>
      <c r="H2" s="7" t="s">
        <v>353</v>
      </c>
      <c r="I2" s="7"/>
    </row>
    <row r="3" spans="1:9" x14ac:dyDescent="0.25">
      <c r="A3" t="s">
        <v>138</v>
      </c>
      <c r="B3" s="14">
        <v>41947</v>
      </c>
      <c r="C3" s="19">
        <v>20245</v>
      </c>
      <c r="D3" s="9">
        <v>100000000</v>
      </c>
      <c r="E3" s="19">
        <f>+ROUND(D3/C3,0)</f>
        <v>4939</v>
      </c>
      <c r="F3">
        <v>28</v>
      </c>
      <c r="G3" s="9">
        <f>D3/F3</f>
        <v>3571428.5714285714</v>
      </c>
      <c r="H3" t="s">
        <v>354</v>
      </c>
    </row>
    <row r="4" spans="1:9" x14ac:dyDescent="0.25">
      <c r="A4" t="s">
        <v>139</v>
      </c>
      <c r="B4" s="14">
        <v>41947</v>
      </c>
      <c r="C4" s="19">
        <v>20856</v>
      </c>
      <c r="D4" s="9">
        <v>119500000</v>
      </c>
      <c r="E4" s="19">
        <f t="shared" ref="E4:E10" si="0">+ROUND(D4/C4,0)</f>
        <v>5730</v>
      </c>
      <c r="F4">
        <v>36</v>
      </c>
      <c r="G4" s="9">
        <f t="shared" ref="G4:G9" si="1">D4/F4</f>
        <v>3319444.4444444445</v>
      </c>
      <c r="H4" t="s">
        <v>355</v>
      </c>
    </row>
    <row r="5" spans="1:9" x14ac:dyDescent="0.25">
      <c r="A5" t="s">
        <v>140</v>
      </c>
      <c r="B5" s="14">
        <v>41947</v>
      </c>
      <c r="C5" s="19">
        <v>25928</v>
      </c>
      <c r="D5" s="9">
        <v>160000000</v>
      </c>
      <c r="E5" s="19">
        <f t="shared" si="0"/>
        <v>6171</v>
      </c>
      <c r="F5">
        <v>42</v>
      </c>
      <c r="G5" s="9">
        <f t="shared" si="1"/>
        <v>3809523.8095238097</v>
      </c>
      <c r="H5" t="s">
        <v>355</v>
      </c>
    </row>
    <row r="6" spans="1:9" x14ac:dyDescent="0.25">
      <c r="A6" t="s">
        <v>141</v>
      </c>
      <c r="B6" s="14">
        <v>42682</v>
      </c>
      <c r="C6" s="19">
        <v>32785</v>
      </c>
      <c r="D6" s="9">
        <v>90870000</v>
      </c>
      <c r="E6" s="19">
        <f t="shared" si="0"/>
        <v>2772</v>
      </c>
      <c r="F6">
        <v>53</v>
      </c>
      <c r="G6" s="9">
        <f t="shared" si="1"/>
        <v>1714528.3018867925</v>
      </c>
      <c r="H6" t="s">
        <v>356</v>
      </c>
    </row>
    <row r="7" spans="1:9" s="120" customFormat="1" x14ac:dyDescent="0.25">
      <c r="A7" s="120" t="s">
        <v>142</v>
      </c>
      <c r="B7" s="121">
        <v>39217</v>
      </c>
      <c r="C7" s="122">
        <v>28881</v>
      </c>
      <c r="D7" s="123">
        <v>99000000</v>
      </c>
      <c r="E7" s="122">
        <f t="shared" si="0"/>
        <v>3428</v>
      </c>
      <c r="G7" s="123" t="e">
        <f t="shared" si="1"/>
        <v>#DIV/0!</v>
      </c>
      <c r="H7" s="120" t="s">
        <v>356</v>
      </c>
    </row>
    <row r="8" spans="1:9" x14ac:dyDescent="0.25">
      <c r="A8" t="s">
        <v>173</v>
      </c>
      <c r="B8" s="14">
        <v>41581</v>
      </c>
      <c r="C8" s="19">
        <v>25169</v>
      </c>
      <c r="D8" s="9">
        <v>75000000</v>
      </c>
      <c r="E8" s="19">
        <f t="shared" si="0"/>
        <v>2980</v>
      </c>
      <c r="F8">
        <v>34</v>
      </c>
      <c r="G8" s="9">
        <f t="shared" si="1"/>
        <v>2205882.3529411764</v>
      </c>
      <c r="H8" t="s">
        <v>355</v>
      </c>
    </row>
    <row r="9" spans="1:9" x14ac:dyDescent="0.25">
      <c r="A9" t="s">
        <v>174</v>
      </c>
      <c r="B9" s="14">
        <v>41947</v>
      </c>
      <c r="C9" s="19">
        <v>8776</v>
      </c>
      <c r="D9" s="9">
        <v>75000000</v>
      </c>
      <c r="E9" s="19">
        <f t="shared" si="0"/>
        <v>8546</v>
      </c>
      <c r="F9">
        <v>16</v>
      </c>
      <c r="G9" s="9">
        <f t="shared" si="1"/>
        <v>4687500</v>
      </c>
      <c r="H9" t="s">
        <v>355</v>
      </c>
    </row>
    <row r="10" spans="1:9" x14ac:dyDescent="0.25">
      <c r="A10" s="87" t="s">
        <v>314</v>
      </c>
      <c r="B10" s="90" t="s">
        <v>315</v>
      </c>
      <c r="C10" s="88">
        <v>3402</v>
      </c>
      <c r="D10" s="89">
        <v>93000000</v>
      </c>
      <c r="E10" s="19">
        <f t="shared" si="0"/>
        <v>27337</v>
      </c>
      <c r="F10">
        <v>9</v>
      </c>
      <c r="G10" s="9">
        <f>D10/F10</f>
        <v>10333333.333333334</v>
      </c>
    </row>
    <row r="11" spans="1:9" x14ac:dyDescent="0.25">
      <c r="A11" s="7" t="s">
        <v>171</v>
      </c>
    </row>
    <row r="13" spans="1:9" x14ac:dyDescent="0.25">
      <c r="B13" s="14"/>
      <c r="D13" s="9"/>
    </row>
    <row r="14" spans="1:9" x14ac:dyDescent="0.25">
      <c r="B14" s="14"/>
      <c r="D14" s="19"/>
    </row>
    <row r="15" spans="1:9" x14ac:dyDescent="0.25">
      <c r="D15" s="9"/>
    </row>
  </sheetData>
  <sheetProtection algorithmName="SHA-512" hashValue="tPz9wkBQmx9QNsFOo1B/oDNwQHQPDrgziDUWWYltsuFX4fHhAfA/x7dx6YJ9LqO8H+6uJMCUEnH8/aWU6Ddwhg==" saltValue="hG3Z1FaH5qpkG+TDQQ3obg==" spinCount="100000" sheet="1" objects="1" scenarios="1"/>
  <pageMargins left="0.7" right="0.7" top="0.75" bottom="0.75" header="0.3" footer="0.3"/>
  <pageSetup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0"/>
  <sheetViews>
    <sheetView workbookViewId="0">
      <selection activeCell="B27" sqref="B27"/>
    </sheetView>
  </sheetViews>
  <sheetFormatPr defaultRowHeight="15" x14ac:dyDescent="0.25"/>
  <cols>
    <col min="2" max="2" width="15.28515625" customWidth="1"/>
    <col min="3" max="3" width="13.7109375" customWidth="1"/>
    <col min="4" max="4" width="12.7109375" customWidth="1"/>
    <col min="5" max="5" width="13.85546875" customWidth="1"/>
    <col min="6" max="6" width="14.5703125" customWidth="1"/>
    <col min="7" max="7" width="17.42578125" customWidth="1"/>
    <col min="8" max="8" width="16.42578125" customWidth="1"/>
    <col min="9" max="9" width="20.5703125" customWidth="1"/>
    <col min="10" max="10" width="14.7109375" customWidth="1"/>
    <col min="11" max="11" width="15" customWidth="1"/>
    <col min="12" max="12" width="12.85546875" customWidth="1"/>
  </cols>
  <sheetData>
    <row r="1" spans="1:11" ht="15.75" thickBot="1" x14ac:dyDescent="0.3">
      <c r="A1" s="2" t="s">
        <v>334</v>
      </c>
    </row>
    <row r="2" spans="1:11" ht="14.45" customHeight="1" x14ac:dyDescent="0.25">
      <c r="A2" s="86"/>
      <c r="B2" s="267" t="s">
        <v>30</v>
      </c>
      <c r="C2" s="268"/>
      <c r="D2" s="268"/>
      <c r="E2" s="268"/>
      <c r="F2" s="268"/>
      <c r="G2" s="269"/>
      <c r="H2" s="264" t="s">
        <v>46</v>
      </c>
      <c r="I2" s="273" t="s">
        <v>169</v>
      </c>
      <c r="J2" s="276" t="s">
        <v>170</v>
      </c>
      <c r="K2" s="279"/>
    </row>
    <row r="3" spans="1:11" ht="15.75" thickBot="1" x14ac:dyDescent="0.3">
      <c r="A3" s="86"/>
      <c r="B3" s="270"/>
      <c r="C3" s="271"/>
      <c r="D3" s="271"/>
      <c r="E3" s="271"/>
      <c r="F3" s="271"/>
      <c r="G3" s="272"/>
      <c r="H3" s="265"/>
      <c r="I3" s="274"/>
      <c r="J3" s="277"/>
      <c r="K3" s="279"/>
    </row>
    <row r="4" spans="1:11" ht="15.75" thickBot="1" x14ac:dyDescent="0.3">
      <c r="A4" s="86"/>
      <c r="B4" s="10" t="s">
        <v>26</v>
      </c>
      <c r="C4" s="10" t="s">
        <v>19</v>
      </c>
      <c r="D4" s="10" t="s">
        <v>27</v>
      </c>
      <c r="E4" s="10" t="s">
        <v>28</v>
      </c>
      <c r="F4" s="105" t="s">
        <v>29</v>
      </c>
      <c r="G4" s="10" t="s">
        <v>1</v>
      </c>
      <c r="H4" s="266"/>
      <c r="I4" s="275"/>
      <c r="J4" s="278"/>
      <c r="K4" s="279"/>
    </row>
    <row r="5" spans="1:11" x14ac:dyDescent="0.25">
      <c r="A5" s="18" t="s">
        <v>0</v>
      </c>
      <c r="B5" s="108">
        <v>49334</v>
      </c>
      <c r="C5" s="108">
        <v>3740541</v>
      </c>
      <c r="D5" s="108">
        <v>2997152</v>
      </c>
      <c r="E5" s="108">
        <v>5530465</v>
      </c>
      <c r="F5" s="109">
        <v>12458799</v>
      </c>
      <c r="G5" s="108">
        <f t="shared" ref="G5:G10" si="0">SUM(B5:F5)</f>
        <v>24776291</v>
      </c>
      <c r="H5" s="110">
        <v>47899927</v>
      </c>
      <c r="I5" s="111">
        <f>G5/H5</f>
        <v>0.51725112232425741</v>
      </c>
      <c r="J5" s="115">
        <f t="shared" ref="J5:J10" si="1">F5/H5</f>
        <v>0.26010058428690297</v>
      </c>
    </row>
    <row r="6" spans="1:11" x14ac:dyDescent="0.25">
      <c r="A6" s="18" t="s">
        <v>24</v>
      </c>
      <c r="B6" s="108">
        <v>41292</v>
      </c>
      <c r="C6" s="108">
        <v>3830798</v>
      </c>
      <c r="D6" s="108">
        <v>2577398</v>
      </c>
      <c r="E6" s="108">
        <v>4934391</v>
      </c>
      <c r="F6" s="109">
        <v>12777784</v>
      </c>
      <c r="G6" s="108">
        <f t="shared" si="0"/>
        <v>24161663</v>
      </c>
      <c r="H6" s="110">
        <v>46788842</v>
      </c>
      <c r="I6" s="111">
        <f>G6/H6</f>
        <v>0.51639796941330585</v>
      </c>
      <c r="J6" s="115">
        <f t="shared" si="1"/>
        <v>0.27309468355724642</v>
      </c>
    </row>
    <row r="7" spans="1:11" x14ac:dyDescent="0.25">
      <c r="A7" s="18" t="s">
        <v>23</v>
      </c>
      <c r="B7" s="108">
        <v>40733</v>
      </c>
      <c r="C7" s="108">
        <v>3494721</v>
      </c>
      <c r="D7" s="108">
        <v>2264227</v>
      </c>
      <c r="E7" s="108">
        <v>5227709</v>
      </c>
      <c r="F7" s="109">
        <v>12519329</v>
      </c>
      <c r="G7" s="108">
        <f t="shared" si="0"/>
        <v>23546719</v>
      </c>
      <c r="H7" s="110">
        <v>44499235</v>
      </c>
      <c r="I7" s="111">
        <f>G7/H7</f>
        <v>0.52914884941280449</v>
      </c>
      <c r="J7" s="115">
        <f t="shared" si="1"/>
        <v>0.2813380724410206</v>
      </c>
    </row>
    <row r="8" spans="1:11" x14ac:dyDescent="0.25">
      <c r="A8" s="18" t="s">
        <v>22</v>
      </c>
      <c r="B8" s="108">
        <v>40893</v>
      </c>
      <c r="C8" s="108">
        <v>3287582</v>
      </c>
      <c r="D8" s="108">
        <v>2012140</v>
      </c>
      <c r="E8" s="108">
        <v>4320436</v>
      </c>
      <c r="F8" s="109">
        <v>12302809</v>
      </c>
      <c r="G8" s="108">
        <f t="shared" si="0"/>
        <v>21963860</v>
      </c>
      <c r="H8" s="110">
        <f>40066676</f>
        <v>40066676</v>
      </c>
      <c r="I8" s="111">
        <f>G8/H8</f>
        <v>0.54818273420036145</v>
      </c>
      <c r="J8" s="115">
        <f t="shared" si="1"/>
        <v>0.30705838937075786</v>
      </c>
    </row>
    <row r="9" spans="1:11" x14ac:dyDescent="0.25">
      <c r="A9" s="18" t="s">
        <v>21</v>
      </c>
      <c r="B9" s="108">
        <v>16215</v>
      </c>
      <c r="C9" s="108">
        <v>3309254</v>
      </c>
      <c r="D9" s="130">
        <v>1637499</v>
      </c>
      <c r="E9" s="108">
        <v>4513591</v>
      </c>
      <c r="F9" s="109">
        <v>11562233</v>
      </c>
      <c r="G9" s="108">
        <f t="shared" si="0"/>
        <v>21038792</v>
      </c>
      <c r="H9" s="110">
        <v>39443666</v>
      </c>
      <c r="I9" s="111">
        <f t="shared" ref="I9" si="2">G9/H9</f>
        <v>0.53338835188392475</v>
      </c>
      <c r="J9" s="115">
        <f t="shared" si="1"/>
        <v>0.29313281884092618</v>
      </c>
    </row>
    <row r="10" spans="1:11" ht="15.75" thickBot="1" x14ac:dyDescent="0.3">
      <c r="A10" s="18" t="s">
        <v>20</v>
      </c>
      <c r="B10" s="129">
        <v>13007</v>
      </c>
      <c r="C10" s="129">
        <v>3414041</v>
      </c>
      <c r="D10" s="129">
        <v>1463248</v>
      </c>
      <c r="E10" s="131">
        <v>3547977</v>
      </c>
      <c r="F10" s="109">
        <v>11889227</v>
      </c>
      <c r="G10" s="132">
        <f t="shared" si="0"/>
        <v>20327500</v>
      </c>
      <c r="H10" s="106">
        <v>39956091</v>
      </c>
      <c r="I10" s="107">
        <f>G10/H10</f>
        <v>0.5087459631624125</v>
      </c>
      <c r="J10" s="114">
        <f t="shared" si="1"/>
        <v>0.29755731109932648</v>
      </c>
    </row>
    <row r="11" spans="1:11" x14ac:dyDescent="0.25">
      <c r="B11" s="127" t="s">
        <v>336</v>
      </c>
      <c r="C11" s="127" t="s">
        <v>337</v>
      </c>
      <c r="D11" s="261" t="s">
        <v>338</v>
      </c>
      <c r="E11" s="262"/>
      <c r="G11" s="116" t="s">
        <v>1</v>
      </c>
    </row>
    <row r="12" spans="1:11" x14ac:dyDescent="0.25">
      <c r="A12" s="116" t="s">
        <v>196</v>
      </c>
      <c r="B12" s="128">
        <v>3851813</v>
      </c>
      <c r="C12" s="128">
        <v>5223495</v>
      </c>
      <c r="D12" s="263">
        <v>10261746</v>
      </c>
      <c r="E12" s="263"/>
      <c r="G12" s="128">
        <f>SUM(B12:E12)</f>
        <v>19337054</v>
      </c>
    </row>
    <row r="13" spans="1:11" x14ac:dyDescent="0.25">
      <c r="A13" s="116" t="s">
        <v>198</v>
      </c>
      <c r="B13" s="128">
        <v>4771176</v>
      </c>
      <c r="C13" s="128">
        <v>3180255</v>
      </c>
      <c r="D13" s="263">
        <v>9758729</v>
      </c>
      <c r="E13" s="263"/>
      <c r="G13" s="128">
        <f>SUM(B13:E13)</f>
        <v>17710160</v>
      </c>
    </row>
    <row r="14" spans="1:11" x14ac:dyDescent="0.25">
      <c r="A14" s="116" t="s">
        <v>209</v>
      </c>
      <c r="B14" s="128">
        <v>5529966</v>
      </c>
      <c r="C14" s="128">
        <v>3064060</v>
      </c>
      <c r="D14" s="263">
        <v>8575637</v>
      </c>
      <c r="E14" s="263"/>
      <c r="G14" s="128">
        <f>SUM(B14:E14)</f>
        <v>17169663</v>
      </c>
    </row>
    <row r="15" spans="1:11" x14ac:dyDescent="0.25">
      <c r="A15" s="116" t="s">
        <v>204</v>
      </c>
      <c r="B15" s="128">
        <v>17116364</v>
      </c>
      <c r="C15" s="128">
        <v>3042494</v>
      </c>
      <c r="D15" s="263">
        <v>10524826</v>
      </c>
      <c r="E15" s="263"/>
      <c r="G15" s="128">
        <f>SUM(B15:E15)</f>
        <v>30683684</v>
      </c>
    </row>
    <row r="17" spans="1:2" x14ac:dyDescent="0.25">
      <c r="B17" t="s">
        <v>369</v>
      </c>
    </row>
    <row r="20" spans="1:2" x14ac:dyDescent="0.25">
      <c r="A20" s="2" t="s">
        <v>25</v>
      </c>
    </row>
  </sheetData>
  <sheetProtection algorithmName="SHA-512" hashValue="kBSbe1FJlPLmCtYFZIh0Q1U6vTC3bbn+iPvqFQ2ADjHjyIVo7VVEy1ZGZQcXXkgVAXJoF0oqyBVSHo1e+cnPCA==" saltValue="lnquZvMBo0S41Rqu9aOVVg==" spinCount="100000" sheet="1" objects="1" scenarios="1"/>
  <mergeCells count="10">
    <mergeCell ref="H2:H4"/>
    <mergeCell ref="B2:G3"/>
    <mergeCell ref="I2:I4"/>
    <mergeCell ref="J2:J4"/>
    <mergeCell ref="K2:K4"/>
    <mergeCell ref="D11:E11"/>
    <mergeCell ref="D15:E15"/>
    <mergeCell ref="D14:E14"/>
    <mergeCell ref="D13:E13"/>
    <mergeCell ref="D12:E1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D29" sqref="D29"/>
    </sheetView>
  </sheetViews>
  <sheetFormatPr defaultRowHeight="15" x14ac:dyDescent="0.25"/>
  <sheetData>
    <row r="2" spans="1:1" x14ac:dyDescent="0.25">
      <c r="A2" s="7" t="s">
        <v>410</v>
      </c>
    </row>
    <row r="3" spans="1:1" x14ac:dyDescent="0.25">
      <c r="A3" s="137" t="s">
        <v>411</v>
      </c>
    </row>
    <row r="4" spans="1:1" x14ac:dyDescent="0.25">
      <c r="A4" s="137" t="s">
        <v>412</v>
      </c>
    </row>
    <row r="6" spans="1:1" x14ac:dyDescent="0.25">
      <c r="A6" s="7" t="s">
        <v>413</v>
      </c>
    </row>
    <row r="7" spans="1:1" x14ac:dyDescent="0.25">
      <c r="A7" s="137" t="s">
        <v>414</v>
      </c>
    </row>
  </sheetData>
  <sheetProtection algorithmName="SHA-512" hashValue="na82TrM9Tsbg5XEKlZl1XFLmDGNPPkf8kgWZw3H+Cb4gDy979N+nA684IaTu8/Iy4osw2MZsG0tSPPdRWbKmew==" saltValue="ZWh3H1OvjjcM9oU7NDyBNg==" spinCount="100000" sheet="1" objects="1" scenarios="1"/>
  <hyperlinks>
    <hyperlink ref="A3" r:id="rId1" xr:uid="{00000000-0004-0000-0100-000000000000}"/>
    <hyperlink ref="A4" r:id="rId2" xr:uid="{00000000-0004-0000-0100-000001000000}"/>
    <hyperlink ref="A7" r:id="rId3" xr:uid="{00000000-0004-0000-0100-000002000000}"/>
  </hyperlinks>
  <pageMargins left="0.7" right="0.7" top="0.75" bottom="0.75" header="0.3" footer="0.3"/>
  <pageSetup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0"/>
  <sheetViews>
    <sheetView zoomScale="90" zoomScaleNormal="90" workbookViewId="0">
      <pane xSplit="1" topLeftCell="B1" activePane="topRight" state="frozen"/>
      <selection pane="topRight" activeCell="D13" sqref="D13"/>
    </sheetView>
  </sheetViews>
  <sheetFormatPr defaultRowHeight="15" outlineLevelCol="1" x14ac:dyDescent="0.25"/>
  <cols>
    <col min="1" max="1" width="12.85546875" customWidth="1"/>
    <col min="2" max="2" width="33.85546875" customWidth="1"/>
    <col min="3" max="3" width="16.28515625" customWidth="1" outlineLevel="1"/>
    <col min="4" max="4" width="10.42578125" customWidth="1" outlineLevel="1"/>
    <col min="5" max="5" width="11.28515625" customWidth="1"/>
    <col min="6" max="7" width="17.28515625" customWidth="1"/>
    <col min="8" max="8" width="16.7109375" customWidth="1"/>
    <col min="9" max="9" width="15.85546875" customWidth="1"/>
    <col min="10" max="10" width="12.28515625" customWidth="1" outlineLevel="1"/>
    <col min="11" max="11" width="14.5703125" customWidth="1"/>
    <col min="12" max="12" width="12.28515625" customWidth="1"/>
    <col min="13" max="13" width="12.7109375" customWidth="1" outlineLevel="1"/>
    <col min="14" max="14" width="18.85546875" customWidth="1" outlineLevel="1"/>
    <col min="15" max="16" width="14.7109375" customWidth="1" outlineLevel="1"/>
    <col min="17" max="17" width="18" customWidth="1" outlineLevel="1"/>
    <col min="18" max="18" width="12.140625" customWidth="1" outlineLevel="1"/>
    <col min="19" max="19" width="12.28515625" customWidth="1" outlineLevel="1"/>
    <col min="20" max="20" width="19.7109375" customWidth="1"/>
    <col min="21" max="21" width="18.140625" customWidth="1"/>
    <col min="22" max="22" width="14.85546875" customWidth="1"/>
    <col min="23" max="23" width="16.140625" customWidth="1"/>
    <col min="24" max="24" width="18.28515625" customWidth="1"/>
    <col min="25" max="25" width="16.5703125" customWidth="1"/>
    <col min="26" max="26" width="18.28515625" customWidth="1"/>
    <col min="27" max="27" width="18.28515625" customWidth="1" outlineLevel="1"/>
    <col min="28" max="28" width="21.28515625" style="6" customWidth="1" outlineLevel="1"/>
    <col min="29" max="29" width="18.7109375" customWidth="1" outlineLevel="1"/>
    <col min="30" max="30" width="20.42578125" customWidth="1" outlineLevel="1"/>
    <col min="31" max="31" width="14.28515625" customWidth="1"/>
    <col min="32" max="32" width="19.28515625" style="13" customWidth="1"/>
    <col min="33" max="33" width="15.28515625" style="6" customWidth="1"/>
    <col min="34" max="34" width="10.5703125" customWidth="1" outlineLevel="1"/>
    <col min="35" max="37" width="16.140625" customWidth="1" outlineLevel="1"/>
    <col min="44" max="45" width="19.7109375" style="6" customWidth="1" outlineLevel="1"/>
    <col min="46" max="46" width="19" customWidth="1"/>
    <col min="47" max="47" width="18.28515625" customWidth="1"/>
    <col min="48" max="48" width="19.28515625" customWidth="1"/>
    <col min="49" max="49" width="15.7109375" style="3" customWidth="1"/>
  </cols>
  <sheetData>
    <row r="1" spans="1:49" ht="92.45" customHeight="1" x14ac:dyDescent="0.25">
      <c r="A1" s="138" t="s">
        <v>43</v>
      </c>
      <c r="B1" s="138" t="s">
        <v>39</v>
      </c>
      <c r="C1" s="139" t="s">
        <v>343</v>
      </c>
      <c r="D1" s="140" t="s">
        <v>44</v>
      </c>
      <c r="E1" s="141" t="s">
        <v>306</v>
      </c>
      <c r="F1" s="140" t="s">
        <v>307</v>
      </c>
      <c r="G1" s="142" t="s">
        <v>318</v>
      </c>
      <c r="H1" s="142" t="s">
        <v>340</v>
      </c>
      <c r="I1" s="142" t="s">
        <v>339</v>
      </c>
      <c r="J1" s="140" t="s">
        <v>308</v>
      </c>
      <c r="K1" s="140" t="s">
        <v>303</v>
      </c>
      <c r="L1" s="143" t="s">
        <v>365</v>
      </c>
      <c r="M1" s="144" t="s">
        <v>304</v>
      </c>
      <c r="N1" s="144" t="s">
        <v>366</v>
      </c>
      <c r="O1" s="144" t="s">
        <v>335</v>
      </c>
      <c r="P1" s="144" t="s">
        <v>373</v>
      </c>
      <c r="Q1" s="144" t="s">
        <v>305</v>
      </c>
      <c r="R1" s="144" t="s">
        <v>342</v>
      </c>
      <c r="S1" s="144" t="s">
        <v>341</v>
      </c>
      <c r="T1" s="141" t="s">
        <v>52</v>
      </c>
      <c r="U1" s="145" t="s">
        <v>309</v>
      </c>
      <c r="V1" s="145" t="s">
        <v>310</v>
      </c>
      <c r="W1" s="140" t="s">
        <v>45</v>
      </c>
      <c r="X1" s="139" t="s">
        <v>248</v>
      </c>
      <c r="Y1" s="139" t="s">
        <v>55</v>
      </c>
      <c r="Z1" s="139" t="s">
        <v>56</v>
      </c>
      <c r="AA1" s="146" t="s">
        <v>57</v>
      </c>
      <c r="AB1" s="147" t="s">
        <v>359</v>
      </c>
      <c r="AC1" s="140" t="s">
        <v>190</v>
      </c>
      <c r="AD1" s="145" t="s">
        <v>324</v>
      </c>
      <c r="AE1" s="145" t="s">
        <v>325</v>
      </c>
      <c r="AF1" s="148" t="s">
        <v>47</v>
      </c>
      <c r="AG1" s="148" t="s">
        <v>48</v>
      </c>
      <c r="AH1" s="138" t="s">
        <v>49</v>
      </c>
      <c r="AI1" s="138" t="s">
        <v>50</v>
      </c>
      <c r="AJ1" s="138" t="s">
        <v>51</v>
      </c>
      <c r="AK1" s="145" t="s">
        <v>330</v>
      </c>
      <c r="AR1"/>
      <c r="AS1"/>
      <c r="AW1"/>
    </row>
    <row r="2" spans="1:49" x14ac:dyDescent="0.25">
      <c r="A2" s="150" t="s">
        <v>358</v>
      </c>
      <c r="B2" s="150" t="s">
        <v>360</v>
      </c>
      <c r="C2" s="151">
        <v>70</v>
      </c>
      <c r="D2" s="167">
        <v>6.4</v>
      </c>
      <c r="E2" s="152">
        <v>157763</v>
      </c>
      <c r="F2" s="152">
        <v>409911000</v>
      </c>
      <c r="G2" s="152">
        <v>1626159706</v>
      </c>
      <c r="H2" s="153">
        <v>839066186</v>
      </c>
      <c r="I2" s="153">
        <v>69944338</v>
      </c>
      <c r="J2" s="154">
        <v>2563</v>
      </c>
      <c r="K2" s="152">
        <v>1150959</v>
      </c>
      <c r="L2" s="153">
        <f>Table1[[#This Row],[Total FY 2017 Local Budget (Current Expense + Capital)]]/Table1[[#This Row],[M-1 ADM FY2017]]</f>
        <v>2598.2708239574554</v>
      </c>
      <c r="M2" s="153">
        <f>Table1[[#This Row],[Capital Outlay FY2017]]/Table1[[#This Row],[M-1 ADM FY2017]]</f>
        <v>7.2954938737219752</v>
      </c>
      <c r="N2" s="153">
        <f>Table1[[#This Row],[Capital Outlay FY2017]]/Table1[[#This Row],[Total Schools]]</f>
        <v>6730.7543859649122</v>
      </c>
      <c r="O2" s="153">
        <f>Table1[[#This Row],[FY2016 Total Expenditures]]/Table1[[#This Row],[Total Schools]]</f>
        <v>9509705.8830409348</v>
      </c>
      <c r="P2" s="153">
        <f>Table1[[#This Row],[Total FY 2017 Local Budget (Current Expense + Capital)]]/Table1[[#This Row],[Total Schools]]</f>
        <v>2397140.3508771928</v>
      </c>
      <c r="Q2" s="153">
        <f>Table1[[#This Row],[FY2016 Total Expenditures]]/Table1[[#This Row],[M-1 ADM FY2017]]</f>
        <v>10307.611455157419</v>
      </c>
      <c r="R2" s="153">
        <f>Table1[[#This Row],[FY2016 State Public School Fund Revenues]]/Table1[[#This Row],[M-1 ADM FY2017]]</f>
        <v>5318.5232659115254</v>
      </c>
      <c r="S2" s="153">
        <f>Table1[[#This Row],[FY2016 Federal Grant Revenues]]/Table1[[#This Row],[M-1 ADM FY2017]]</f>
        <v>443.3507096087169</v>
      </c>
      <c r="T2" s="155">
        <v>866928008</v>
      </c>
      <c r="U2" s="170">
        <f t="shared" ref="U2:U20" si="0">T2/E2</f>
        <v>5495.1288198119964</v>
      </c>
      <c r="V2" s="157">
        <f t="shared" ref="V2:V20" si="1">T2/AJ2</f>
        <v>5069754.4327485384</v>
      </c>
      <c r="W2" s="172">
        <v>2016</v>
      </c>
      <c r="X2" s="163">
        <v>41555</v>
      </c>
      <c r="Y2" s="159">
        <v>810000000</v>
      </c>
      <c r="Z2" s="158">
        <v>42796</v>
      </c>
      <c r="AA2" s="159">
        <v>96152094</v>
      </c>
      <c r="AB2" s="158">
        <v>38997</v>
      </c>
      <c r="AC2" s="154">
        <v>214515645</v>
      </c>
      <c r="AD2" s="157">
        <f>Table1[[#This Row],[Annual Debt Service on Schools Only As Of FY2017]]/Table1[[#This Row],[Total Schools]]</f>
        <v>1254477.4561403508</v>
      </c>
      <c r="AE2" s="157">
        <f>Table1[[#This Row],[Annual Debt Service on Schools Only As Of FY2017]]/Table1[[#This Row],[M-1 ADM FY2017]]</f>
        <v>1359.7335560302479</v>
      </c>
      <c r="AF2" s="150">
        <v>27</v>
      </c>
      <c r="AG2" s="150">
        <v>34</v>
      </c>
      <c r="AH2" s="150">
        <v>106</v>
      </c>
      <c r="AI2" s="150">
        <v>4</v>
      </c>
      <c r="AJ2" s="150">
        <f t="shared" ref="AJ2:AJ20" si="2">SUM(AF2:AI2)</f>
        <v>171</v>
      </c>
      <c r="AK2" s="151">
        <f>Table1[[#This Row],[M-1 ADM FY2017]]/Table1[[#This Row],[Total Schools]]</f>
        <v>922.59064327485385</v>
      </c>
      <c r="AR2"/>
      <c r="AS2"/>
      <c r="AW2"/>
    </row>
    <row r="3" spans="1:49" x14ac:dyDescent="0.25">
      <c r="A3" s="166" t="s">
        <v>364</v>
      </c>
      <c r="B3" s="150" t="s">
        <v>360</v>
      </c>
      <c r="C3" s="151">
        <v>109</v>
      </c>
      <c r="D3" s="167">
        <v>10.199999999999999</v>
      </c>
      <c r="E3" s="168">
        <v>145830</v>
      </c>
      <c r="F3" s="168">
        <v>418453792</v>
      </c>
      <c r="G3" s="168">
        <v>1403366000</v>
      </c>
      <c r="H3" s="169">
        <v>756161000</v>
      </c>
      <c r="I3" s="169">
        <v>87830000</v>
      </c>
      <c r="J3" s="154">
        <v>2776</v>
      </c>
      <c r="K3" s="168">
        <v>4960000</v>
      </c>
      <c r="L3" s="169">
        <f>Table1[[#This Row],[Total FY 2017 Local Budget (Current Expense + Capital)]]/Table1[[#This Row],[M-1 ADM FY2017]]</f>
        <v>2869.4630185832821</v>
      </c>
      <c r="M3" s="169">
        <f>Table1[[#This Row],[Capital Outlay FY2017]]/Table1[[#This Row],[M-1 ADM FY2017]]</f>
        <v>34.012205993279849</v>
      </c>
      <c r="N3" s="169">
        <f>Table1[[#This Row],[Capital Outlay FY2017]]/Table1[[#This Row],[Total Schools]]</f>
        <v>29005.847953216373</v>
      </c>
      <c r="O3" s="169">
        <f>Table1[[#This Row],[FY2016 Total Expenditures]]/Table1[[#This Row],[Total Schools]]</f>
        <v>8206818.7134502921</v>
      </c>
      <c r="P3" s="169">
        <f>Table1[[#This Row],[Total FY 2017 Local Budget (Current Expense + Capital)]]/Table1[[#This Row],[Total Schools]]</f>
        <v>2447098.1988304094</v>
      </c>
      <c r="Q3" s="169">
        <f>Table1[[#This Row],[FY2016 Total Expenditures]]/Table1[[#This Row],[M-1 ADM FY2017]]</f>
        <v>9623.301104025235</v>
      </c>
      <c r="R3" s="169">
        <f>Table1[[#This Row],[FY2016 State Public School Fund Revenues]]/Table1[[#This Row],[M-1 ADM FY2017]]</f>
        <v>5185.2225193718714</v>
      </c>
      <c r="S3" s="169">
        <f>Table1[[#This Row],[FY2016 Federal Grant Revenues]]/Table1[[#This Row],[M-1 ADM FY2017]]</f>
        <v>602.27662346567922</v>
      </c>
      <c r="T3" s="155">
        <v>439176801</v>
      </c>
      <c r="U3" s="170">
        <f t="shared" si="0"/>
        <v>3011.5668998148531</v>
      </c>
      <c r="V3" s="157">
        <f t="shared" si="1"/>
        <v>2568285.3859649124</v>
      </c>
      <c r="W3" s="150">
        <v>2016</v>
      </c>
      <c r="X3" s="158">
        <v>41583</v>
      </c>
      <c r="Y3" s="159">
        <v>290000000</v>
      </c>
      <c r="Z3" s="158">
        <v>42661</v>
      </c>
      <c r="AA3" s="159">
        <v>150000000</v>
      </c>
      <c r="AB3" s="171">
        <v>43045</v>
      </c>
      <c r="AC3" s="154">
        <v>105095736</v>
      </c>
      <c r="AD3" s="157">
        <f>Table1[[#This Row],[Annual Debt Service on Schools Only As Of FY2017]]/Table1[[#This Row],[Total Schools]]</f>
        <v>614594.94736842101</v>
      </c>
      <c r="AE3" s="157">
        <f>Table1[[#This Row],[Annual Debt Service on Schools Only As Of FY2017]]/Table1[[#This Row],[M-1 ADM FY2017]]</f>
        <v>720.67294795309613</v>
      </c>
      <c r="AF3" s="150">
        <v>27</v>
      </c>
      <c r="AG3" s="150">
        <v>27</v>
      </c>
      <c r="AH3" s="150">
        <v>109</v>
      </c>
      <c r="AI3" s="150">
        <v>8</v>
      </c>
      <c r="AJ3" s="150">
        <f t="shared" si="2"/>
        <v>171</v>
      </c>
      <c r="AK3" s="151">
        <f>Table1[[#This Row],[M-1 ADM FY2017]]/Table1[[#This Row],[Total Schools]]</f>
        <v>852.80701754385962</v>
      </c>
      <c r="AR3"/>
      <c r="AS3"/>
      <c r="AW3"/>
    </row>
    <row r="4" spans="1:49" x14ac:dyDescent="0.25">
      <c r="A4" s="178" t="s">
        <v>42</v>
      </c>
      <c r="B4" s="150" t="s">
        <v>374</v>
      </c>
      <c r="C4" s="151">
        <v>82</v>
      </c>
      <c r="D4" s="150">
        <v>6.1</v>
      </c>
      <c r="E4" s="152">
        <v>28730</v>
      </c>
      <c r="F4" s="152">
        <v>82641869</v>
      </c>
      <c r="G4" s="152">
        <v>289243515</v>
      </c>
      <c r="H4" s="153">
        <v>160360514</v>
      </c>
      <c r="I4" s="153">
        <v>7063659</v>
      </c>
      <c r="J4" s="154">
        <v>2375</v>
      </c>
      <c r="K4" s="152">
        <v>13318569</v>
      </c>
      <c r="L4" s="153">
        <f>Table1[[#This Row],[Total FY 2017 Local Budget (Current Expense + Capital)]]/Table1[[#This Row],[M-1 ADM FY2017]]</f>
        <v>2876.5008353637313</v>
      </c>
      <c r="M4" s="153">
        <f>Table1[[#This Row],[Capital Outlay FY2017]]/Table1[[#This Row],[M-1 ADM FY2017]]</f>
        <v>463.57706230421161</v>
      </c>
      <c r="N4" s="153">
        <f>Table1[[#This Row],[Capital Outlay FY2017]]/Table1[[#This Row],[Total Schools]]</f>
        <v>261148.41176470587</v>
      </c>
      <c r="O4" s="153">
        <f>Table1[[#This Row],[FY2016 Total Expenditures]]/Table1[[#This Row],[Total Schools]]</f>
        <v>5671441.4705882352</v>
      </c>
      <c r="P4" s="153">
        <f>Table1[[#This Row],[Total FY 2017 Local Budget (Current Expense + Capital)]]/Table1[[#This Row],[Total Schools]]</f>
        <v>1620428.8039215687</v>
      </c>
      <c r="Q4" s="153">
        <f>Table1[[#This Row],[FY2016 Total Expenditures]]/Table1[[#This Row],[M-1 ADM FY2017]]</f>
        <v>10067.647580925861</v>
      </c>
      <c r="R4" s="153">
        <f>Table1[[#This Row],[FY2016 State Public School Fund Revenues]]/Table1[[#This Row],[M-1 ADM FY2017]]</f>
        <v>5581.6398886181696</v>
      </c>
      <c r="S4" s="153">
        <f>Table1[[#This Row],[FY2016 Federal Grant Revenues]]/Table1[[#This Row],[M-1 ADM FY2017]]</f>
        <v>245.86352245040027</v>
      </c>
      <c r="T4" s="155">
        <v>63792812</v>
      </c>
      <c r="U4" s="156">
        <f t="shared" si="0"/>
        <v>2220.4250609119385</v>
      </c>
      <c r="V4" s="157">
        <f t="shared" si="1"/>
        <v>1250839.4509803921</v>
      </c>
      <c r="W4" s="150">
        <v>2016</v>
      </c>
      <c r="X4" s="158">
        <v>36438</v>
      </c>
      <c r="Y4" s="159">
        <v>45000000</v>
      </c>
      <c r="Z4" s="158">
        <v>40528</v>
      </c>
      <c r="AA4" s="159">
        <v>3675000</v>
      </c>
      <c r="AB4" s="160" t="s">
        <v>54</v>
      </c>
      <c r="AC4" s="154">
        <v>15829643</v>
      </c>
      <c r="AD4" s="157">
        <f>Table1[[#This Row],[Annual Debt Service on Schools Only As Of FY2017]]/Table1[[#This Row],[Total Schools]]</f>
        <v>310385.15686274512</v>
      </c>
      <c r="AE4" s="157">
        <f>Table1[[#This Row],[Annual Debt Service on Schools Only As Of FY2017]]/Table1[[#This Row],[M-1 ADM FY2017]]</f>
        <v>550.97956839540552</v>
      </c>
      <c r="AF4" s="150">
        <v>11</v>
      </c>
      <c r="AG4" s="150">
        <v>12</v>
      </c>
      <c r="AH4" s="150">
        <v>27</v>
      </c>
      <c r="AI4" s="150">
        <v>1</v>
      </c>
      <c r="AJ4" s="150">
        <f t="shared" si="2"/>
        <v>51</v>
      </c>
      <c r="AK4" s="151">
        <f>Table1[[#This Row],[M-1 ADM FY2017]]/Table1[[#This Row],[Total Schools]]</f>
        <v>563.33333333333337</v>
      </c>
      <c r="AR4"/>
      <c r="AS4"/>
      <c r="AW4"/>
    </row>
    <row r="5" spans="1:49" x14ac:dyDescent="0.25">
      <c r="A5" s="150" t="s">
        <v>32</v>
      </c>
      <c r="B5" s="150" t="s">
        <v>40</v>
      </c>
      <c r="C5" s="151">
        <v>46</v>
      </c>
      <c r="D5" s="150">
        <v>4.4000000000000004</v>
      </c>
      <c r="E5" s="152">
        <v>13467</v>
      </c>
      <c r="F5" s="152">
        <v>25920000</v>
      </c>
      <c r="G5" s="152">
        <v>115313418</v>
      </c>
      <c r="H5" s="153">
        <v>76059718</v>
      </c>
      <c r="I5" s="153">
        <v>8183185</v>
      </c>
      <c r="J5" s="154">
        <v>1773</v>
      </c>
      <c r="K5" s="152">
        <v>1600000</v>
      </c>
      <c r="L5" s="153">
        <f>Table1[[#This Row],[Total FY 2017 Local Budget (Current Expense + Capital)]]/Table1[[#This Row],[M-1 ADM FY2017]]</f>
        <v>1924.7048340387614</v>
      </c>
      <c r="M5" s="153">
        <f>Table1[[#This Row],[Capital Outlay FY2017]]/Table1[[#This Row],[M-1 ADM FY2017]]</f>
        <v>118.80894037276305</v>
      </c>
      <c r="N5" s="153">
        <f>Table1[[#This Row],[Capital Outlay FY2017]]/Table1[[#This Row],[Total Schools]]</f>
        <v>69565.217391304352</v>
      </c>
      <c r="O5" s="153">
        <f>Table1[[#This Row],[FY2016 Total Expenditures]]/Table1[[#This Row],[Total Schools]]</f>
        <v>5013626.8695652178</v>
      </c>
      <c r="P5" s="153">
        <f>Table1[[#This Row],[Total FY 2017 Local Budget (Current Expense + Capital)]]/Table1[[#This Row],[Total Schools]]</f>
        <v>1126956.5217391304</v>
      </c>
      <c r="Q5" s="153">
        <f>Table1[[#This Row],[FY2016 Total Expenditures]]/Table1[[#This Row],[M-1 ADM FY2017]]</f>
        <v>8562.6656270884378</v>
      </c>
      <c r="R5" s="153">
        <f>Table1[[#This Row],[FY2016 State Public School Fund Revenues]]/Table1[[#This Row],[M-1 ADM FY2017]]</f>
        <v>5647.859062894483</v>
      </c>
      <c r="S5" s="153">
        <f>Table1[[#This Row],[FY2016 Federal Grant Revenues]]/Table1[[#This Row],[M-1 ADM FY2017]]</f>
        <v>607.64721170268058</v>
      </c>
      <c r="T5" s="155">
        <v>100884892</v>
      </c>
      <c r="U5" s="156">
        <f t="shared" si="0"/>
        <v>7491.2669488378997</v>
      </c>
      <c r="V5" s="157">
        <f t="shared" si="1"/>
        <v>4386299.6521739131</v>
      </c>
      <c r="W5" s="150">
        <v>2013</v>
      </c>
      <c r="X5" s="163" t="s">
        <v>54</v>
      </c>
      <c r="Y5" s="159">
        <v>0</v>
      </c>
      <c r="Z5" s="158">
        <v>40332</v>
      </c>
      <c r="AA5" s="159">
        <v>24271510</v>
      </c>
      <c r="AB5" s="158">
        <v>35752</v>
      </c>
      <c r="AC5" s="154">
        <v>8097066</v>
      </c>
      <c r="AD5" s="157">
        <f>Table1[[#This Row],[Annual Debt Service on Schools Only As Of FY2017]]/Table1[[#This Row],[Total Schools]]</f>
        <v>352046.34782608697</v>
      </c>
      <c r="AE5" s="157">
        <f>Table1[[#This Row],[Annual Debt Service on Schools Only As Of FY2017]]/Table1[[#This Row],[M-1 ADM FY2017]]</f>
        <v>601.25239474270438</v>
      </c>
      <c r="AF5" s="150">
        <v>5</v>
      </c>
      <c r="AG5" s="150">
        <v>4</v>
      </c>
      <c r="AH5" s="150">
        <v>13</v>
      </c>
      <c r="AI5" s="150">
        <v>1</v>
      </c>
      <c r="AJ5" s="150">
        <f t="shared" si="2"/>
        <v>23</v>
      </c>
      <c r="AK5" s="151">
        <f>Table1[[#This Row],[M-1 ADM FY2017]]/Table1[[#This Row],[Total Schools]]</f>
        <v>585.52173913043475</v>
      </c>
      <c r="AR5"/>
      <c r="AS5"/>
      <c r="AW5"/>
    </row>
    <row r="6" spans="1:49" x14ac:dyDescent="0.25">
      <c r="A6" s="150" t="s">
        <v>38</v>
      </c>
      <c r="B6" s="150" t="s">
        <v>40</v>
      </c>
      <c r="C6" s="151">
        <v>52</v>
      </c>
      <c r="D6" s="150">
        <v>5.2</v>
      </c>
      <c r="E6" s="152">
        <v>7156</v>
      </c>
      <c r="F6" s="152">
        <v>15747929</v>
      </c>
      <c r="G6" s="152">
        <v>72289987</v>
      </c>
      <c r="H6" s="153">
        <v>40252145</v>
      </c>
      <c r="I6" s="153">
        <v>5383119</v>
      </c>
      <c r="J6" s="154">
        <v>2098</v>
      </c>
      <c r="K6" s="152">
        <v>675000</v>
      </c>
      <c r="L6" s="153">
        <f>Table1[[#This Row],[Total FY 2017 Local Budget (Current Expense + Capital)]]/Table1[[#This Row],[M-1 ADM FY2017]]</f>
        <v>2200.6608440469536</v>
      </c>
      <c r="M6" s="153">
        <f>Table1[[#This Row],[Capital Outlay FY2017]]/Table1[[#This Row],[M-1 ADM FY2017]]</f>
        <v>94.326439351593066</v>
      </c>
      <c r="N6" s="153">
        <f>Table1[[#This Row],[Capital Outlay FY2017]]/Table1[[#This Row],[Total Schools]]</f>
        <v>42187.5</v>
      </c>
      <c r="O6" s="153">
        <f>Table1[[#This Row],[FY2016 Total Expenditures]]/Table1[[#This Row],[Total Schools]]</f>
        <v>4518124.1875</v>
      </c>
      <c r="P6" s="153">
        <f>Table1[[#This Row],[Total FY 2017 Local Budget (Current Expense + Capital)]]/Table1[[#This Row],[Total Schools]]</f>
        <v>984245.5625</v>
      </c>
      <c r="Q6" s="153">
        <f>Table1[[#This Row],[FY2016 Total Expenditures]]/Table1[[#This Row],[M-1 ADM FY2017]]</f>
        <v>10102.010480715484</v>
      </c>
      <c r="R6" s="153">
        <f>Table1[[#This Row],[FY2016 State Public School Fund Revenues]]/Table1[[#This Row],[M-1 ADM FY2017]]</f>
        <v>5624.9503912800446</v>
      </c>
      <c r="S6" s="153">
        <f>Table1[[#This Row],[FY2016 Federal Grant Revenues]]/Table1[[#This Row],[M-1 ADM FY2017]]</f>
        <v>752.25251537171607</v>
      </c>
      <c r="T6" s="155">
        <v>3882413</v>
      </c>
      <c r="U6" s="156">
        <f t="shared" si="0"/>
        <v>542.53954723309107</v>
      </c>
      <c r="V6" s="157">
        <f t="shared" si="1"/>
        <v>242650.8125</v>
      </c>
      <c r="W6" s="150">
        <v>2016</v>
      </c>
      <c r="X6" s="158">
        <v>38475</v>
      </c>
      <c r="Y6" s="159">
        <v>25000000</v>
      </c>
      <c r="Z6" s="158">
        <v>41609</v>
      </c>
      <c r="AA6" s="159">
        <v>1700000</v>
      </c>
      <c r="AB6" s="160" t="s">
        <v>54</v>
      </c>
      <c r="AC6" s="154">
        <v>2050599</v>
      </c>
      <c r="AD6" s="157">
        <f>Table1[[#This Row],[Annual Debt Service on Schools Only As Of FY2017]]/Table1[[#This Row],[Total Schools]]</f>
        <v>128162.4375</v>
      </c>
      <c r="AE6" s="157">
        <f>Table1[[#This Row],[Annual Debt Service on Schools Only As Of FY2017]]/Table1[[#This Row],[M-1 ADM FY2017]]</f>
        <v>286.55659586361094</v>
      </c>
      <c r="AF6" s="150">
        <v>4</v>
      </c>
      <c r="AG6" s="150">
        <v>3</v>
      </c>
      <c r="AH6" s="150">
        <v>9</v>
      </c>
      <c r="AI6" s="150">
        <v>0</v>
      </c>
      <c r="AJ6" s="150">
        <f t="shared" si="2"/>
        <v>16</v>
      </c>
      <c r="AK6" s="151">
        <f>Table1[[#This Row],[M-1 ADM FY2017]]/Table1[[#This Row],[Total Schools]]</f>
        <v>447.25</v>
      </c>
      <c r="AR6"/>
      <c r="AS6"/>
      <c r="AW6"/>
    </row>
    <row r="7" spans="1:49" x14ac:dyDescent="0.25">
      <c r="A7" s="150" t="s">
        <v>34</v>
      </c>
      <c r="B7" s="150" t="s">
        <v>53</v>
      </c>
      <c r="C7" s="151">
        <v>146</v>
      </c>
      <c r="D7" s="150">
        <v>0.1</v>
      </c>
      <c r="E7" s="152">
        <v>5821</v>
      </c>
      <c r="F7" s="152">
        <v>10958013</v>
      </c>
      <c r="G7" s="152">
        <v>62252209</v>
      </c>
      <c r="H7" s="153">
        <v>39405494</v>
      </c>
      <c r="I7" s="153">
        <v>5467268</v>
      </c>
      <c r="J7" s="154">
        <v>1801</v>
      </c>
      <c r="K7" s="152">
        <v>375000</v>
      </c>
      <c r="L7" s="153">
        <f>Table1[[#This Row],[Total FY 2017 Local Budget (Current Expense + Capital)]]/Table1[[#This Row],[M-1 ADM FY2017]]</f>
        <v>1882.4966500601272</v>
      </c>
      <c r="M7" s="153">
        <f>Table1[[#This Row],[Capital Outlay FY2017]]/Table1[[#This Row],[M-1 ADM FY2017]]</f>
        <v>64.421920632193775</v>
      </c>
      <c r="N7" s="153">
        <f>Table1[[#This Row],[Capital Outlay FY2017]]/Table1[[#This Row],[Total Schools]]</f>
        <v>26785.714285714286</v>
      </c>
      <c r="O7" s="153">
        <f>Table1[[#This Row],[FY2016 Total Expenditures]]/Table1[[#This Row],[Total Schools]]</f>
        <v>4446586.3571428573</v>
      </c>
      <c r="P7" s="153">
        <f>Table1[[#This Row],[Total FY 2017 Local Budget (Current Expense + Capital)]]/Table1[[#This Row],[Total Schools]]</f>
        <v>782715.21428571432</v>
      </c>
      <c r="Q7" s="153">
        <f>Table1[[#This Row],[FY2016 Total Expenditures]]/Table1[[#This Row],[M-1 ADM FY2017]]</f>
        <v>10694.418313004639</v>
      </c>
      <c r="R7" s="153">
        <f>Table1[[#This Row],[FY2016 State Public School Fund Revenues]]/Table1[[#This Row],[M-1 ADM FY2017]]</f>
        <v>6769.5402851743684</v>
      </c>
      <c r="S7" s="153">
        <f>Table1[[#This Row],[FY2016 Federal Grant Revenues]]/Table1[[#This Row],[M-1 ADM FY2017]]</f>
        <v>939.23174712248749</v>
      </c>
      <c r="T7" s="155">
        <v>4080630</v>
      </c>
      <c r="U7" s="156">
        <f t="shared" si="0"/>
        <v>701.0187253049304</v>
      </c>
      <c r="V7" s="157">
        <f t="shared" si="1"/>
        <v>291473.57142857142</v>
      </c>
      <c r="W7" s="150">
        <v>2010</v>
      </c>
      <c r="X7" s="158">
        <v>35374</v>
      </c>
      <c r="Y7" s="159">
        <v>18600000</v>
      </c>
      <c r="Z7" s="158">
        <v>40374</v>
      </c>
      <c r="AA7" s="159">
        <v>3000000</v>
      </c>
      <c r="AB7" s="160" t="s">
        <v>54</v>
      </c>
      <c r="AC7" s="154">
        <v>1484698</v>
      </c>
      <c r="AD7" s="157">
        <f>Table1[[#This Row],[Annual Debt Service on Schools Only As Of FY2017]]/Table1[[#This Row],[Total Schools]]</f>
        <v>106049.85714285714</v>
      </c>
      <c r="AE7" s="157">
        <f>Table1[[#This Row],[Annual Debt Service on Schools Only As Of FY2017]]/Table1[[#This Row],[M-1 ADM FY2017]]</f>
        <v>255.05892458340492</v>
      </c>
      <c r="AF7" s="150">
        <v>2</v>
      </c>
      <c r="AG7" s="150">
        <v>3</v>
      </c>
      <c r="AH7" s="150">
        <v>8</v>
      </c>
      <c r="AI7" s="150">
        <v>1</v>
      </c>
      <c r="AJ7" s="150">
        <f t="shared" si="2"/>
        <v>14</v>
      </c>
      <c r="AK7" s="151">
        <f>Table1[[#This Row],[M-1 ADM FY2017]]/Table1[[#This Row],[Total Schools]]</f>
        <v>415.78571428571428</v>
      </c>
      <c r="AR7"/>
      <c r="AS7"/>
      <c r="AW7"/>
    </row>
    <row r="8" spans="1:49" x14ac:dyDescent="0.25">
      <c r="A8" s="150" t="s">
        <v>36</v>
      </c>
      <c r="B8" s="150" t="s">
        <v>367</v>
      </c>
      <c r="C8" s="151">
        <v>61</v>
      </c>
      <c r="D8" s="150">
        <v>0.3</v>
      </c>
      <c r="E8" s="152">
        <v>4976</v>
      </c>
      <c r="F8" s="152">
        <v>23075113</v>
      </c>
      <c r="G8" s="152">
        <v>58982202</v>
      </c>
      <c r="H8" s="153">
        <v>28830912</v>
      </c>
      <c r="I8" s="153">
        <v>1892169</v>
      </c>
      <c r="J8" s="154">
        <v>4436</v>
      </c>
      <c r="K8" s="152">
        <v>850000</v>
      </c>
      <c r="L8" s="153">
        <f>Table1[[#This Row],[Total FY 2017 Local Budget (Current Expense + Capital)]]/Table1[[#This Row],[M-1 ADM FY2017]]</f>
        <v>4637.2815514469457</v>
      </c>
      <c r="M8" s="153">
        <f>Table1[[#This Row],[Capital Outlay FY2017]]/Table1[[#This Row],[M-1 ADM FY2017]]</f>
        <v>170.81993569131834</v>
      </c>
      <c r="N8" s="153">
        <f>Table1[[#This Row],[Capital Outlay FY2017]]/Table1[[#This Row],[Total Schools]]</f>
        <v>77272.727272727279</v>
      </c>
      <c r="O8" s="153">
        <f>Table1[[#This Row],[FY2016 Total Expenditures]]/Table1[[#This Row],[Total Schools]]</f>
        <v>5362018.3636363633</v>
      </c>
      <c r="P8" s="153">
        <f>Table1[[#This Row],[Total FY 2017 Local Budget (Current Expense + Capital)]]/Table1[[#This Row],[Total Schools]]</f>
        <v>2097737.5454545454</v>
      </c>
      <c r="Q8" s="153">
        <f>Table1[[#This Row],[FY2016 Total Expenditures]]/Table1[[#This Row],[M-1 ADM FY2017]]</f>
        <v>11853.336414790996</v>
      </c>
      <c r="R8" s="153">
        <f>Table1[[#This Row],[FY2016 State Public School Fund Revenues]]/Table1[[#This Row],[M-1 ADM FY2017]]</f>
        <v>5793.9935691318324</v>
      </c>
      <c r="S8" s="153">
        <f>Table1[[#This Row],[FY2016 Federal Grant Revenues]]/Table1[[#This Row],[M-1 ADM FY2017]]</f>
        <v>380.25904340836013</v>
      </c>
      <c r="T8" s="161">
        <v>0</v>
      </c>
      <c r="U8" s="156">
        <f t="shared" si="0"/>
        <v>0</v>
      </c>
      <c r="V8" s="162">
        <f t="shared" si="1"/>
        <v>0</v>
      </c>
      <c r="W8" s="150">
        <v>2016</v>
      </c>
      <c r="X8" s="158">
        <v>35570</v>
      </c>
      <c r="Y8" s="159">
        <v>59500000</v>
      </c>
      <c r="Z8" s="158">
        <v>41821</v>
      </c>
      <c r="AA8" s="159">
        <v>3073000</v>
      </c>
      <c r="AB8" s="160" t="s">
        <v>54</v>
      </c>
      <c r="AC8" s="154">
        <v>10896407</v>
      </c>
      <c r="AD8" s="162">
        <f>Table1[[#This Row],[Annual Debt Service on Schools Only As Of FY2017]]/Table1[[#This Row],[Total Schools]]</f>
        <v>990582.45454545459</v>
      </c>
      <c r="AE8" s="162">
        <f>Table1[[#This Row],[Annual Debt Service on Schools Only As Of FY2017]]/Table1[[#This Row],[M-1 ADM FY2017]]</f>
        <v>2189.7924035369774</v>
      </c>
      <c r="AF8" s="150">
        <v>3</v>
      </c>
      <c r="AG8" s="150">
        <v>2</v>
      </c>
      <c r="AH8" s="150">
        <v>5</v>
      </c>
      <c r="AI8" s="150">
        <v>1</v>
      </c>
      <c r="AJ8" s="150">
        <f t="shared" si="2"/>
        <v>11</v>
      </c>
      <c r="AK8" s="151">
        <f>Table1[[#This Row],[M-1 ADM FY2017]]/Table1[[#This Row],[Total Schools]]</f>
        <v>452.36363636363637</v>
      </c>
      <c r="AR8"/>
      <c r="AS8"/>
      <c r="AW8"/>
    </row>
    <row r="9" spans="1:49" x14ac:dyDescent="0.25">
      <c r="A9" s="150" t="s">
        <v>189</v>
      </c>
      <c r="B9" s="150" t="s">
        <v>53</v>
      </c>
      <c r="C9" s="151">
        <v>139</v>
      </c>
      <c r="D9" s="150">
        <v>5.8</v>
      </c>
      <c r="E9" s="152">
        <v>4511</v>
      </c>
      <c r="F9" s="152">
        <v>16780761</v>
      </c>
      <c r="G9" s="152">
        <v>47026348</v>
      </c>
      <c r="H9" s="153">
        <v>29115736</v>
      </c>
      <c r="I9" s="153">
        <v>4271539</v>
      </c>
      <c r="J9" s="154">
        <v>1453</v>
      </c>
      <c r="K9" s="152">
        <v>1009516</v>
      </c>
      <c r="L9" s="153">
        <f>Table1[[#This Row],[Total FY 2017 Local Budget (Current Expense + Capital)]]/Table1[[#This Row],[M-1 ADM FY2017]]</f>
        <v>3719.9647528264245</v>
      </c>
      <c r="M9" s="153">
        <f>Table1[[#This Row],[Capital Outlay FY2017]]/Table1[[#This Row],[M-1 ADM FY2017]]</f>
        <v>223.78984704056751</v>
      </c>
      <c r="N9" s="153">
        <f>Table1[[#This Row],[Capital Outlay FY2017]]/Table1[[#This Row],[Total Schools]]</f>
        <v>77655.076923076922</v>
      </c>
      <c r="O9" s="153">
        <f>Table1[[#This Row],[FY2016 Total Expenditures]]/Table1[[#This Row],[Total Schools]]</f>
        <v>3617411.3846153845</v>
      </c>
      <c r="P9" s="153">
        <f>Table1[[#This Row],[Total FY 2017 Local Budget (Current Expense + Capital)]]/Table1[[#This Row],[Total Schools]]</f>
        <v>1290827.7692307692</v>
      </c>
      <c r="Q9" s="153">
        <f>Table1[[#This Row],[FY2016 Total Expenditures]]/Table1[[#This Row],[M-1 ADM FY2017]]</f>
        <v>10424.816670361339</v>
      </c>
      <c r="R9" s="153">
        <f>Table1[[#This Row],[FY2016 State Public School Fund Revenues]]/Table1[[#This Row],[M-1 ADM FY2017]]</f>
        <v>6454.386167146974</v>
      </c>
      <c r="S9" s="153">
        <f>Table1[[#This Row],[FY2016 Federal Grant Revenues]]/Table1[[#This Row],[M-1 ADM FY2017]]</f>
        <v>946.91620483263137</v>
      </c>
      <c r="T9" s="161">
        <v>0</v>
      </c>
      <c r="U9" s="156">
        <f t="shared" si="0"/>
        <v>0</v>
      </c>
      <c r="V9" s="162">
        <f t="shared" si="1"/>
        <v>0</v>
      </c>
      <c r="W9" s="150">
        <v>1999</v>
      </c>
      <c r="X9" s="158">
        <v>36053</v>
      </c>
      <c r="Y9" s="159">
        <v>25000000</v>
      </c>
      <c r="Z9" s="163">
        <v>40806</v>
      </c>
      <c r="AA9" s="161">
        <v>1523700</v>
      </c>
      <c r="AB9" s="160" t="s">
        <v>54</v>
      </c>
      <c r="AC9" s="154">
        <v>1929162</v>
      </c>
      <c r="AD9" s="162">
        <f>Table1[[#This Row],[Annual Debt Service on Schools Only As Of FY2017]]/Table1[[#This Row],[Total Schools]]</f>
        <v>148397.07692307694</v>
      </c>
      <c r="AE9" s="162">
        <f>Table1[[#This Row],[Annual Debt Service on Schools Only As Of FY2017]]/Table1[[#This Row],[M-1 ADM FY2017]]</f>
        <v>427.65728219906896</v>
      </c>
      <c r="AF9" s="150">
        <v>2</v>
      </c>
      <c r="AG9" s="150">
        <v>4</v>
      </c>
      <c r="AH9" s="150">
        <v>7</v>
      </c>
      <c r="AI9" s="150">
        <v>0</v>
      </c>
      <c r="AJ9" s="150">
        <f t="shared" si="2"/>
        <v>13</v>
      </c>
      <c r="AK9" s="151">
        <f>Table1[[#This Row],[M-1 ADM FY2017]]/Table1[[#This Row],[Total Schools]]</f>
        <v>347</v>
      </c>
      <c r="AR9"/>
      <c r="AS9"/>
      <c r="AW9"/>
    </row>
    <row r="10" spans="1:49" x14ac:dyDescent="0.25">
      <c r="A10" s="150" t="s">
        <v>37</v>
      </c>
      <c r="B10" s="150" t="s">
        <v>53</v>
      </c>
      <c r="C10" s="151">
        <v>84</v>
      </c>
      <c r="D10" s="150">
        <v>1.4</v>
      </c>
      <c r="E10" s="152">
        <v>4341</v>
      </c>
      <c r="F10" s="152">
        <v>19547575</v>
      </c>
      <c r="G10" s="152">
        <v>44018150</v>
      </c>
      <c r="H10" s="153">
        <v>26620257</v>
      </c>
      <c r="I10" s="153">
        <v>2981485</v>
      </c>
      <c r="J10" s="154">
        <v>1627</v>
      </c>
      <c r="K10" s="152">
        <v>1729091</v>
      </c>
      <c r="L10" s="153">
        <f>Table1[[#This Row],[Total FY 2017 Local Budget (Current Expense + Capital)]]/Table1[[#This Row],[M-1 ADM FY2017]]</f>
        <v>4503.0119788067268</v>
      </c>
      <c r="M10" s="153">
        <f>Table1[[#This Row],[Capital Outlay FY2017]]/Table1[[#This Row],[M-1 ADM FY2017]]</f>
        <v>398.31628656991478</v>
      </c>
      <c r="N10" s="153">
        <f>Table1[[#This Row],[Capital Outlay FY2017]]/Table1[[#This Row],[Total Schools]]</f>
        <v>157190.09090909091</v>
      </c>
      <c r="O10" s="153">
        <f>Table1[[#This Row],[FY2016 Total Expenditures]]/Table1[[#This Row],[Total Schools]]</f>
        <v>4001650</v>
      </c>
      <c r="P10" s="153">
        <f>Table1[[#This Row],[Total FY 2017 Local Budget (Current Expense + Capital)]]/Table1[[#This Row],[Total Schools]]</f>
        <v>1777052.2727272727</v>
      </c>
      <c r="Q10" s="153">
        <f>Table1[[#This Row],[FY2016 Total Expenditures]]/Table1[[#This Row],[M-1 ADM FY2017]]</f>
        <v>10140.094448283806</v>
      </c>
      <c r="R10" s="153">
        <f>Table1[[#This Row],[FY2016 State Public School Fund Revenues]]/Table1[[#This Row],[M-1 ADM FY2017]]</f>
        <v>6132.2868002764344</v>
      </c>
      <c r="S10" s="153">
        <f>Table1[[#This Row],[FY2016 Federal Grant Revenues]]/Table1[[#This Row],[M-1 ADM FY2017]]</f>
        <v>686.81985717576595</v>
      </c>
      <c r="T10" s="155">
        <v>41929653</v>
      </c>
      <c r="U10" s="156">
        <f t="shared" si="0"/>
        <v>9658.9847961299238</v>
      </c>
      <c r="V10" s="157">
        <f t="shared" si="1"/>
        <v>3811786.6363636362</v>
      </c>
      <c r="W10" s="164">
        <v>2010</v>
      </c>
      <c r="X10" s="158">
        <v>39392</v>
      </c>
      <c r="Y10" s="159">
        <v>42100000</v>
      </c>
      <c r="Z10" s="158">
        <v>42217</v>
      </c>
      <c r="AA10" s="159">
        <v>2985878</v>
      </c>
      <c r="AB10" s="160" t="s">
        <v>54</v>
      </c>
      <c r="AC10" s="165">
        <v>3847643</v>
      </c>
      <c r="AD10" s="157">
        <f>Table1[[#This Row],[Annual Debt Service on Schools Only As Of FY2017]]/Table1[[#This Row],[Total Schools]]</f>
        <v>349785.72727272729</v>
      </c>
      <c r="AE10" s="157">
        <f>Table1[[#This Row],[Annual Debt Service on Schools Only As Of FY2017]]/Table1[[#This Row],[M-1 ADM FY2017]]</f>
        <v>886.34945865008058</v>
      </c>
      <c r="AF10" s="150">
        <v>2</v>
      </c>
      <c r="AG10" s="150">
        <v>2</v>
      </c>
      <c r="AH10" s="150">
        <v>4</v>
      </c>
      <c r="AI10" s="150">
        <v>3</v>
      </c>
      <c r="AJ10" s="150">
        <f t="shared" si="2"/>
        <v>11</v>
      </c>
      <c r="AK10" s="151">
        <f>Table1[[#This Row],[M-1 ADM FY2017]]/Table1[[#This Row],[Total Schools]]</f>
        <v>394.63636363636363</v>
      </c>
      <c r="AR10"/>
      <c r="AS10"/>
      <c r="AW10"/>
    </row>
    <row r="11" spans="1:49" x14ac:dyDescent="0.25">
      <c r="A11" s="150" t="s">
        <v>35</v>
      </c>
      <c r="B11" s="150" t="s">
        <v>367</v>
      </c>
      <c r="C11" s="151">
        <v>166</v>
      </c>
      <c r="D11" s="150">
        <v>3.5</v>
      </c>
      <c r="E11" s="152">
        <v>3910</v>
      </c>
      <c r="F11" s="152">
        <v>5459000</v>
      </c>
      <c r="G11" s="152">
        <v>41379045</v>
      </c>
      <c r="H11" s="153">
        <v>26389394</v>
      </c>
      <c r="I11" s="153">
        <v>3299803</v>
      </c>
      <c r="J11" s="154">
        <v>1358</v>
      </c>
      <c r="K11" s="152">
        <v>0</v>
      </c>
      <c r="L11" s="153">
        <f>Table1[[#This Row],[Total FY 2017 Local Budget (Current Expense + Capital)]]/Table1[[#This Row],[M-1 ADM FY2017]]</f>
        <v>1396.16368286445</v>
      </c>
      <c r="M11" s="153">
        <f>Table1[[#This Row],[Capital Outlay FY2017]]/Table1[[#This Row],[M-1 ADM FY2017]]</f>
        <v>0</v>
      </c>
      <c r="N11" s="153">
        <f>Table1[[#This Row],[Capital Outlay FY2017]]/Table1[[#This Row],[Total Schools]]</f>
        <v>0</v>
      </c>
      <c r="O11" s="153">
        <f>Table1[[#This Row],[FY2016 Total Expenditures]]/Table1[[#This Row],[Total Schools]]</f>
        <v>3761731.3636363638</v>
      </c>
      <c r="P11" s="153">
        <f>Table1[[#This Row],[Total FY 2017 Local Budget (Current Expense + Capital)]]/Table1[[#This Row],[Total Schools]]</f>
        <v>496272.72727272729</v>
      </c>
      <c r="Q11" s="153">
        <f>Table1[[#This Row],[FY2016 Total Expenditures]]/Table1[[#This Row],[M-1 ADM FY2017]]</f>
        <v>10582.875959079283</v>
      </c>
      <c r="R11" s="153">
        <f>Table1[[#This Row],[FY2016 State Public School Fund Revenues]]/Table1[[#This Row],[M-1 ADM FY2017]]</f>
        <v>6749.2056265984656</v>
      </c>
      <c r="S11" s="153">
        <f>Table1[[#This Row],[FY2016 Federal Grant Revenues]]/Table1[[#This Row],[M-1 ADM FY2017]]</f>
        <v>843.93938618925836</v>
      </c>
      <c r="T11" s="155">
        <v>4557160</v>
      </c>
      <c r="U11" s="156">
        <f t="shared" si="0"/>
        <v>1165.5140664961637</v>
      </c>
      <c r="V11" s="157">
        <f t="shared" si="1"/>
        <v>414287.27272727271</v>
      </c>
      <c r="W11" s="150">
        <v>2009</v>
      </c>
      <c r="X11" s="163" t="s">
        <v>54</v>
      </c>
      <c r="Y11" s="159">
        <v>0</v>
      </c>
      <c r="Z11" s="158">
        <v>41153</v>
      </c>
      <c r="AA11" s="159">
        <v>3132538</v>
      </c>
      <c r="AB11" s="160" t="s">
        <v>54</v>
      </c>
      <c r="AC11" s="154">
        <v>1244247</v>
      </c>
      <c r="AD11" s="157">
        <f>Table1[[#This Row],[Annual Debt Service on Schools Only As Of FY2017]]/Table1[[#This Row],[Total Schools]]</f>
        <v>113113.36363636363</v>
      </c>
      <c r="AE11" s="157">
        <f>Table1[[#This Row],[Annual Debt Service on Schools Only As Of FY2017]]/Table1[[#This Row],[M-1 ADM FY2017]]</f>
        <v>318.2217391304348</v>
      </c>
      <c r="AF11" s="150">
        <v>2</v>
      </c>
      <c r="AG11" s="150">
        <v>2</v>
      </c>
      <c r="AH11" s="150">
        <v>6</v>
      </c>
      <c r="AI11" s="150">
        <v>1</v>
      </c>
      <c r="AJ11" s="150">
        <f t="shared" si="2"/>
        <v>11</v>
      </c>
      <c r="AK11" s="151">
        <f>Table1[[#This Row],[M-1 ADM FY2017]]/Table1[[#This Row],[Total Schools]]</f>
        <v>355.45454545454544</v>
      </c>
      <c r="AR11"/>
      <c r="AS11"/>
      <c r="AW11"/>
    </row>
    <row r="12" spans="1:49" x14ac:dyDescent="0.25">
      <c r="A12" s="150" t="s">
        <v>33</v>
      </c>
      <c r="B12" s="150" t="s">
        <v>368</v>
      </c>
      <c r="C12" s="151">
        <v>145</v>
      </c>
      <c r="D12" s="150">
        <v>6.7</v>
      </c>
      <c r="E12" s="152">
        <v>3754</v>
      </c>
      <c r="F12" s="152">
        <v>7856907</v>
      </c>
      <c r="G12" s="152">
        <v>38465173</v>
      </c>
      <c r="H12" s="153">
        <v>22643085</v>
      </c>
      <c r="I12" s="154">
        <v>2422012</v>
      </c>
      <c r="J12" s="154">
        <v>1815</v>
      </c>
      <c r="K12" s="152">
        <v>1030700</v>
      </c>
      <c r="L12" s="153">
        <f>Table1[[#This Row],[Total FY 2017 Local Budget (Current Expense + Capital)]]/Table1[[#This Row],[M-1 ADM FY2017]]</f>
        <v>2092.9427277570589</v>
      </c>
      <c r="M12" s="153">
        <f>Table1[[#This Row],[Capital Outlay FY2017]]/Table1[[#This Row],[M-1 ADM FY2017]]</f>
        <v>274.56046883324456</v>
      </c>
      <c r="N12" s="153">
        <f>Table1[[#This Row],[Capital Outlay FY2017]]/Table1[[#This Row],[Total Schools]]</f>
        <v>114522.22222222222</v>
      </c>
      <c r="O12" s="153">
        <f>Table1[[#This Row],[FY2016 Total Expenditures]]/Table1[[#This Row],[Total Schools]]</f>
        <v>4273908.111111111</v>
      </c>
      <c r="P12" s="153">
        <f>Table1[[#This Row],[Total FY 2017 Local Budget (Current Expense + Capital)]]/Table1[[#This Row],[Total Schools]]</f>
        <v>872989.66666666663</v>
      </c>
      <c r="Q12" s="153">
        <f>Table1[[#This Row],[FY2016 Total Expenditures]]/Table1[[#This Row],[M-1 ADM FY2017]]</f>
        <v>10246.449920085242</v>
      </c>
      <c r="R12" s="153">
        <f>Table1[[#This Row],[FY2016 State Public School Fund Revenues]]/Table1[[#This Row],[M-1 ADM FY2017]]</f>
        <v>6031.7221630261056</v>
      </c>
      <c r="S12" s="153">
        <f>Table1[[#This Row],[FY2016 Federal Grant Revenues]]/Table1[[#This Row],[M-1 ADM FY2017]]</f>
        <v>645.18167288225891</v>
      </c>
      <c r="T12" s="155">
        <v>5201596</v>
      </c>
      <c r="U12" s="156">
        <f t="shared" si="0"/>
        <v>1385.6142781033564</v>
      </c>
      <c r="V12" s="157">
        <f t="shared" si="1"/>
        <v>577955.11111111112</v>
      </c>
      <c r="W12" s="150">
        <v>2016</v>
      </c>
      <c r="X12" s="172" t="s">
        <v>54</v>
      </c>
      <c r="Y12" s="159">
        <v>0</v>
      </c>
      <c r="Z12" s="158">
        <v>41240</v>
      </c>
      <c r="AA12" s="159">
        <v>2284380</v>
      </c>
      <c r="AB12" s="160" t="s">
        <v>54</v>
      </c>
      <c r="AC12" s="154">
        <v>1527069</v>
      </c>
      <c r="AD12" s="157">
        <f>Table1[[#This Row],[Annual Debt Service on Schools Only As Of FY2017]]/Table1[[#This Row],[Total Schools]]</f>
        <v>169674.33333333334</v>
      </c>
      <c r="AE12" s="157">
        <f>Table1[[#This Row],[Annual Debt Service on Schools Only As Of FY2017]]/Table1[[#This Row],[M-1 ADM FY2017]]</f>
        <v>406.78449653702717</v>
      </c>
      <c r="AF12" s="150">
        <v>3</v>
      </c>
      <c r="AG12" s="150">
        <v>0</v>
      </c>
      <c r="AH12" s="150">
        <v>5</v>
      </c>
      <c r="AI12" s="150">
        <v>1</v>
      </c>
      <c r="AJ12" s="150">
        <f t="shared" si="2"/>
        <v>9</v>
      </c>
      <c r="AK12" s="151">
        <f>Table1[[#This Row],[M-1 ADM FY2017]]/Table1[[#This Row],[Total Schools]]</f>
        <v>417.11111111111109</v>
      </c>
      <c r="AR12"/>
      <c r="AS12"/>
      <c r="AW12"/>
    </row>
    <row r="13" spans="1:49" x14ac:dyDescent="0.25">
      <c r="A13" s="149" t="s">
        <v>41</v>
      </c>
      <c r="B13" s="150" t="s">
        <v>2</v>
      </c>
      <c r="C13" s="151">
        <v>68</v>
      </c>
      <c r="D13" s="150">
        <v>7.8</v>
      </c>
      <c r="E13" s="152">
        <v>3402</v>
      </c>
      <c r="F13" s="152">
        <v>13227315</v>
      </c>
      <c r="G13" s="152">
        <v>39591307</v>
      </c>
      <c r="H13" s="153">
        <v>20091480</v>
      </c>
      <c r="I13" s="153">
        <v>2818791</v>
      </c>
      <c r="J13" s="154">
        <v>3279</v>
      </c>
      <c r="K13" s="152">
        <v>1800000</v>
      </c>
      <c r="L13" s="153">
        <f>Table1[[#This Row],[Total FY 2017 Local Budget (Current Expense + Capital)]]/Table1[[#This Row],[M-1 ADM FY2017]]</f>
        <v>3888.0996472663142</v>
      </c>
      <c r="M13" s="153">
        <f>Table1[[#This Row],[Capital Outlay FY2017]]/Table1[[#This Row],[M-1 ADM FY2017]]</f>
        <v>529.10052910052912</v>
      </c>
      <c r="N13" s="153">
        <f>Table1[[#This Row],[Capital Outlay FY2017]]/Table1[[#This Row],[Total Schools]]</f>
        <v>200000</v>
      </c>
      <c r="O13" s="153">
        <f>Table1[[#This Row],[FY2016 Total Expenditures]]/Table1[[#This Row],[Total Schools]]</f>
        <v>4399034.111111111</v>
      </c>
      <c r="P13" s="153">
        <f>Table1[[#This Row],[Total FY 2017 Local Budget (Current Expense + Capital)]]/Table1[[#This Row],[Total Schools]]</f>
        <v>1469701.6666666667</v>
      </c>
      <c r="Q13" s="153">
        <f>Table1[[#This Row],[FY2016 Total Expenditures]]/Table1[[#This Row],[M-1 ADM FY2017]]</f>
        <v>11637.656378600823</v>
      </c>
      <c r="R13" s="153">
        <f>Table1[[#This Row],[FY2016 State Public School Fund Revenues]]/Table1[[#This Row],[M-1 ADM FY2017]]</f>
        <v>5905.7848324514989</v>
      </c>
      <c r="S13" s="153">
        <f>Table1[[#This Row],[FY2016 Federal Grant Revenues]]/Table1[[#This Row],[M-1 ADM FY2017]]</f>
        <v>828.56878306878309</v>
      </c>
      <c r="T13" s="155">
        <v>101416269</v>
      </c>
      <c r="U13" s="156">
        <f t="shared" si="0"/>
        <v>29810.778659611991</v>
      </c>
      <c r="V13" s="157">
        <f t="shared" si="1"/>
        <v>11268474.333333334</v>
      </c>
      <c r="W13" s="150">
        <v>1991</v>
      </c>
      <c r="X13" s="158">
        <v>35738</v>
      </c>
      <c r="Y13" s="159">
        <v>24300000</v>
      </c>
      <c r="Z13" s="158">
        <v>40239</v>
      </c>
      <c r="AA13" s="159">
        <v>1297778</v>
      </c>
      <c r="AB13" s="160" t="s">
        <v>54</v>
      </c>
      <c r="AC13" s="154">
        <v>953710</v>
      </c>
      <c r="AD13" s="157">
        <f>Table1[[#This Row],[Annual Debt Service on Schools Only As Of FY2017]]/Table1[[#This Row],[Total Schools]]</f>
        <v>105967.77777777778</v>
      </c>
      <c r="AE13" s="157">
        <f>Table1[[#This Row],[Annual Debt Service on Schools Only As Of FY2017]]/Table1[[#This Row],[M-1 ADM FY2017]]</f>
        <v>280.33803644914758</v>
      </c>
      <c r="AF13" s="150">
        <v>2</v>
      </c>
      <c r="AG13" s="150">
        <v>2</v>
      </c>
      <c r="AH13" s="150">
        <v>4</v>
      </c>
      <c r="AI13" s="150">
        <v>1</v>
      </c>
      <c r="AJ13" s="150">
        <f t="shared" si="2"/>
        <v>9</v>
      </c>
      <c r="AK13" s="151">
        <f>Table1[[#This Row],[M-1 ADM FY2017]]/Table1[[#This Row],[Total Schools]]</f>
        <v>378</v>
      </c>
      <c r="AR13"/>
      <c r="AS13"/>
      <c r="AW13"/>
    </row>
    <row r="14" spans="1:49" x14ac:dyDescent="0.25">
      <c r="A14" s="150" t="s">
        <v>348</v>
      </c>
      <c r="B14" s="150" t="s">
        <v>350</v>
      </c>
      <c r="C14" s="151">
        <v>153</v>
      </c>
      <c r="D14" s="173">
        <v>0.05</v>
      </c>
      <c r="E14" s="152">
        <v>3329</v>
      </c>
      <c r="F14" s="152">
        <v>3784598</v>
      </c>
      <c r="G14" s="152">
        <v>35756159</v>
      </c>
      <c r="H14" s="153">
        <v>24883172</v>
      </c>
      <c r="I14" s="153">
        <v>2766880</v>
      </c>
      <c r="J14" s="154">
        <v>1072</v>
      </c>
      <c r="K14" s="152">
        <v>90000</v>
      </c>
      <c r="L14" s="153">
        <f>Table1[[#This Row],[Total FY 2017 Local Budget (Current Expense + Capital)]]/Table1[[#This Row],[M-1 ADM FY2017]]</f>
        <v>1136.8573145088615</v>
      </c>
      <c r="M14" s="153">
        <f>Table1[[#This Row],[Capital Outlay FY2017]]/Table1[[#This Row],[M-1 ADM FY2017]]</f>
        <v>27.035145689396217</v>
      </c>
      <c r="N14" s="153">
        <f>Table1[[#This Row],[Capital Outlay FY2017]]/Table1[[#This Row],[Total Schools]]</f>
        <v>8181.818181818182</v>
      </c>
      <c r="O14" s="153">
        <f>Table1[[#This Row],[FY2016 Total Expenditures]]/Table1[[#This Row],[Total Schools]]</f>
        <v>3250559.9090909092</v>
      </c>
      <c r="P14" s="153">
        <f>Table1[[#This Row],[Total FY 2017 Local Budget (Current Expense + Capital)]]/Table1[[#This Row],[Total Schools]]</f>
        <v>344054.36363636365</v>
      </c>
      <c r="Q14" s="153">
        <f>Table1[[#This Row],[FY2016 Total Expenditures]]/Table1[[#This Row],[M-1 ADM FY2017]]</f>
        <v>10740.810753980175</v>
      </c>
      <c r="R14" s="153">
        <f>Table1[[#This Row],[FY2016 State Public School Fund Revenues]]/Table1[[#This Row],[M-1 ADM FY2017]]</f>
        <v>7474.6686692700514</v>
      </c>
      <c r="S14" s="153">
        <f>Table1[[#This Row],[FY2016 Federal Grant Revenues]]/Table1[[#This Row],[M-1 ADM FY2017]]</f>
        <v>831.14448783418447</v>
      </c>
      <c r="T14" s="155">
        <v>85522286</v>
      </c>
      <c r="U14" s="156">
        <f t="shared" si="0"/>
        <v>25690.082907780114</v>
      </c>
      <c r="V14" s="157">
        <f t="shared" si="1"/>
        <v>7774753.2727272725</v>
      </c>
      <c r="W14" s="172" t="s">
        <v>351</v>
      </c>
      <c r="X14" s="163" t="s">
        <v>54</v>
      </c>
      <c r="Y14" s="159">
        <v>0</v>
      </c>
      <c r="Z14" s="171" t="s">
        <v>54</v>
      </c>
      <c r="AA14" s="174" t="s">
        <v>54</v>
      </c>
      <c r="AB14" s="171" t="s">
        <v>54</v>
      </c>
      <c r="AC14" s="154">
        <v>0</v>
      </c>
      <c r="AD14" s="157">
        <f>Table1[[#This Row],[Annual Debt Service on Schools Only As Of FY2017]]/Table1[[#This Row],[Total Schools]]</f>
        <v>0</v>
      </c>
      <c r="AE14" s="157">
        <f>Table1[[#This Row],[Annual Debt Service on Schools Only As Of FY2017]]/Table1[[#This Row],[M-1 ADM FY2017]]</f>
        <v>0</v>
      </c>
      <c r="AF14" s="150">
        <v>4</v>
      </c>
      <c r="AG14" s="150">
        <v>2</v>
      </c>
      <c r="AH14" s="150">
        <v>5</v>
      </c>
      <c r="AI14" s="150">
        <v>0</v>
      </c>
      <c r="AJ14" s="150">
        <f t="shared" si="2"/>
        <v>11</v>
      </c>
      <c r="AK14" s="151">
        <f>Table1[[#This Row],[M-1 ADM FY2017]]/Table1[[#This Row],[Total Schools]]</f>
        <v>302.63636363636363</v>
      </c>
      <c r="AR14"/>
      <c r="AS14"/>
      <c r="AW14"/>
    </row>
    <row r="15" spans="1:49" x14ac:dyDescent="0.25">
      <c r="A15" s="150" t="s">
        <v>349</v>
      </c>
      <c r="B15" s="150" t="s">
        <v>350</v>
      </c>
      <c r="C15" s="151">
        <v>75</v>
      </c>
      <c r="D15" s="173">
        <v>5.5</v>
      </c>
      <c r="E15" s="152">
        <v>3294</v>
      </c>
      <c r="F15" s="152">
        <v>6546803</v>
      </c>
      <c r="G15" s="152">
        <v>34222589</v>
      </c>
      <c r="H15" s="153">
        <v>20392559</v>
      </c>
      <c r="I15" s="153">
        <v>3024964</v>
      </c>
      <c r="J15" s="154">
        <v>1972</v>
      </c>
      <c r="K15" s="152">
        <v>0</v>
      </c>
      <c r="L15" s="153">
        <f>Table1[[#This Row],[Total FY 2017 Local Budget (Current Expense + Capital)]]/Table1[[#This Row],[M-1 ADM FY2017]]</f>
        <v>1987.4933211900425</v>
      </c>
      <c r="M15" s="153">
        <f>Table1[[#This Row],[Capital Outlay FY2017]]/Table1[[#This Row],[M-1 ADM FY2017]]</f>
        <v>0</v>
      </c>
      <c r="N15" s="153">
        <f>Table1[[#This Row],[Capital Outlay FY2017]]/Table1[[#This Row],[Total Schools]]</f>
        <v>0</v>
      </c>
      <c r="O15" s="153">
        <f>Table1[[#This Row],[FY2016 Total Expenditures]]/Table1[[#This Row],[Total Schools]]</f>
        <v>2444470.6428571427</v>
      </c>
      <c r="P15" s="153">
        <f>Table1[[#This Row],[Total FY 2017 Local Budget (Current Expense + Capital)]]/Table1[[#This Row],[Total Schools]]</f>
        <v>467628.78571428574</v>
      </c>
      <c r="Q15" s="153">
        <f>Table1[[#This Row],[FY2016 Total Expenditures]]/Table1[[#This Row],[M-1 ADM FY2017]]</f>
        <v>10389.371281117183</v>
      </c>
      <c r="R15" s="153">
        <f>Table1[[#This Row],[FY2016 State Public School Fund Revenues]]/Table1[[#This Row],[M-1 ADM FY2017]]</f>
        <v>6190.8193685488768</v>
      </c>
      <c r="S15" s="153">
        <f>Table1[[#This Row],[FY2016 Federal Grant Revenues]]/Table1[[#This Row],[M-1 ADM FY2017]]</f>
        <v>918.3254401942927</v>
      </c>
      <c r="T15" s="155">
        <v>12986164</v>
      </c>
      <c r="U15" s="156">
        <f t="shared" si="0"/>
        <v>3942.3691560412872</v>
      </c>
      <c r="V15" s="157">
        <f t="shared" si="1"/>
        <v>927583.14285714284</v>
      </c>
      <c r="W15" s="172" t="s">
        <v>351</v>
      </c>
      <c r="X15" s="163" t="s">
        <v>54</v>
      </c>
      <c r="Y15" s="159">
        <v>0</v>
      </c>
      <c r="Z15" s="158">
        <v>40533</v>
      </c>
      <c r="AA15" s="159">
        <v>1282886</v>
      </c>
      <c r="AB15" s="171" t="s">
        <v>54</v>
      </c>
      <c r="AC15" s="154">
        <v>0</v>
      </c>
      <c r="AD15" s="157">
        <f>Table1[[#This Row],[Annual Debt Service on Schools Only As Of FY2017]]/Table1[[#This Row],[Total Schools]]</f>
        <v>0</v>
      </c>
      <c r="AE15" s="157">
        <f>Table1[[#This Row],[Annual Debt Service on Schools Only As Of FY2017]]/Table1[[#This Row],[M-1 ADM FY2017]]</f>
        <v>0</v>
      </c>
      <c r="AF15" s="150">
        <v>4</v>
      </c>
      <c r="AG15" s="150">
        <v>2</v>
      </c>
      <c r="AH15" s="150">
        <v>7</v>
      </c>
      <c r="AI15" s="150">
        <v>1</v>
      </c>
      <c r="AJ15" s="150">
        <f t="shared" si="2"/>
        <v>14</v>
      </c>
      <c r="AK15" s="151">
        <f>Table1[[#This Row],[M-1 ADM FY2017]]/Table1[[#This Row],[Total Schools]]</f>
        <v>235.28571428571428</v>
      </c>
      <c r="AR15"/>
      <c r="AS15"/>
      <c r="AW15"/>
    </row>
    <row r="16" spans="1:49" x14ac:dyDescent="0.25">
      <c r="A16" s="150" t="s">
        <v>347</v>
      </c>
      <c r="B16" s="150" t="s">
        <v>350</v>
      </c>
      <c r="C16" s="151">
        <v>163</v>
      </c>
      <c r="D16" s="173">
        <v>11.2</v>
      </c>
      <c r="E16" s="152">
        <v>3151</v>
      </c>
      <c r="F16" s="152">
        <v>6250888</v>
      </c>
      <c r="G16" s="152">
        <v>37124342</v>
      </c>
      <c r="H16" s="153">
        <v>23113577</v>
      </c>
      <c r="I16" s="153">
        <v>2501884</v>
      </c>
      <c r="J16" s="154">
        <v>1706</v>
      </c>
      <c r="K16" s="152">
        <v>596888</v>
      </c>
      <c r="L16" s="153">
        <f>Table1[[#This Row],[Total FY 2017 Local Budget (Current Expense + Capital)]]/Table1[[#This Row],[M-1 ADM FY2017]]</f>
        <v>1983.7791177403999</v>
      </c>
      <c r="M16" s="153">
        <f>Table1[[#This Row],[Capital Outlay FY2017]]/Table1[[#This Row],[M-1 ADM FY2017]]</f>
        <v>189.42811805775943</v>
      </c>
      <c r="N16" s="153">
        <f>Table1[[#This Row],[Capital Outlay FY2017]]/Table1[[#This Row],[Total Schools]]</f>
        <v>59688.800000000003</v>
      </c>
      <c r="O16" s="153">
        <f>Table1[[#This Row],[FY2016 Total Expenditures]]/Table1[[#This Row],[Total Schools]]</f>
        <v>3712434.2</v>
      </c>
      <c r="P16" s="153">
        <f>Table1[[#This Row],[Total FY 2017 Local Budget (Current Expense + Capital)]]/Table1[[#This Row],[Total Schools]]</f>
        <v>625088.80000000005</v>
      </c>
      <c r="Q16" s="153">
        <f>Table1[[#This Row],[FY2016 Total Expenditures]]/Table1[[#This Row],[M-1 ADM FY2017]]</f>
        <v>11781.76515391939</v>
      </c>
      <c r="R16" s="153">
        <f>Table1[[#This Row],[FY2016 State Public School Fund Revenues]]/Table1[[#This Row],[M-1 ADM FY2017]]</f>
        <v>7335.314820691844</v>
      </c>
      <c r="S16" s="153">
        <f>Table1[[#This Row],[FY2016 Federal Grant Revenues]]/Table1[[#This Row],[M-1 ADM FY2017]]</f>
        <v>793.99682640431604</v>
      </c>
      <c r="T16" s="155">
        <v>14592184</v>
      </c>
      <c r="U16" s="156">
        <f t="shared" si="0"/>
        <v>4630.9692161218663</v>
      </c>
      <c r="V16" s="157">
        <f t="shared" si="1"/>
        <v>1459218.4</v>
      </c>
      <c r="W16" s="150">
        <v>2011</v>
      </c>
      <c r="X16" s="163">
        <v>38545</v>
      </c>
      <c r="Y16" s="159">
        <v>17100000</v>
      </c>
      <c r="Z16" s="158">
        <v>40682</v>
      </c>
      <c r="AA16" s="159">
        <v>15000000</v>
      </c>
      <c r="AB16" s="171" t="s">
        <v>54</v>
      </c>
      <c r="AC16" s="154">
        <v>1700734</v>
      </c>
      <c r="AD16" s="157">
        <f>Table1[[#This Row],[Annual Debt Service on Schools Only As Of FY2017]]/Table1[[#This Row],[Total Schools]]</f>
        <v>170073.4</v>
      </c>
      <c r="AE16" s="157">
        <f>Table1[[#This Row],[Annual Debt Service on Schools Only As Of FY2017]]/Table1[[#This Row],[M-1 ADM FY2017]]</f>
        <v>539.74420818787689</v>
      </c>
      <c r="AF16" s="150">
        <v>2</v>
      </c>
      <c r="AG16" s="150">
        <v>2</v>
      </c>
      <c r="AH16" s="150">
        <v>6</v>
      </c>
      <c r="AI16" s="150">
        <v>0</v>
      </c>
      <c r="AJ16" s="150">
        <f t="shared" si="2"/>
        <v>10</v>
      </c>
      <c r="AK16" s="151">
        <f>Table1[[#This Row],[M-1 ADM FY2017]]/Table1[[#This Row],[Total Schools]]</f>
        <v>315.10000000000002</v>
      </c>
      <c r="AR16"/>
      <c r="AS16"/>
      <c r="AW16"/>
    </row>
    <row r="17" spans="1:49" x14ac:dyDescent="0.25">
      <c r="A17" s="150" t="s">
        <v>346</v>
      </c>
      <c r="B17" s="150" t="s">
        <v>350</v>
      </c>
      <c r="C17" s="175" t="s">
        <v>54</v>
      </c>
      <c r="D17" s="173">
        <v>0.03</v>
      </c>
      <c r="E17" s="152">
        <v>3110</v>
      </c>
      <c r="F17" s="152">
        <v>2801644</v>
      </c>
      <c r="G17" s="152">
        <v>33061683</v>
      </c>
      <c r="H17" s="153">
        <v>23201493</v>
      </c>
      <c r="I17" s="153">
        <v>2624046</v>
      </c>
      <c r="J17" s="154">
        <v>731</v>
      </c>
      <c r="K17" s="152">
        <v>484644</v>
      </c>
      <c r="L17" s="153">
        <f>Table1[[#This Row],[Total FY 2017 Local Budget (Current Expense + Capital)]]/Table1[[#This Row],[M-1 ADM FY2017]]</f>
        <v>900.85016077170417</v>
      </c>
      <c r="M17" s="153">
        <f>Table1[[#This Row],[Capital Outlay FY2017]]/Table1[[#This Row],[M-1 ADM FY2017]]</f>
        <v>155.83408360128618</v>
      </c>
      <c r="N17" s="153">
        <f>Table1[[#This Row],[Capital Outlay FY2017]]/Table1[[#This Row],[Total Schools]]</f>
        <v>80774</v>
      </c>
      <c r="O17" s="153">
        <f>Table1[[#This Row],[FY2016 Total Expenditures]]/Table1[[#This Row],[Total Schools]]</f>
        <v>5510280.5</v>
      </c>
      <c r="P17" s="153">
        <f>Table1[[#This Row],[Total FY 2017 Local Budget (Current Expense + Capital)]]/Table1[[#This Row],[Total Schools]]</f>
        <v>466940.66666666669</v>
      </c>
      <c r="Q17" s="153">
        <f>Table1[[#This Row],[FY2016 Total Expenditures]]/Table1[[#This Row],[M-1 ADM FY2017]]</f>
        <v>10630.766237942122</v>
      </c>
      <c r="R17" s="153">
        <f>Table1[[#This Row],[FY2016 State Public School Fund Revenues]]/Table1[[#This Row],[M-1 ADM FY2017]]</f>
        <v>7460.2871382636658</v>
      </c>
      <c r="S17" s="153">
        <f>Table1[[#This Row],[FY2016 Federal Grant Revenues]]/Table1[[#This Row],[M-1 ADM FY2017]]</f>
        <v>843.74469453376207</v>
      </c>
      <c r="T17" s="155">
        <v>9098980</v>
      </c>
      <c r="U17" s="156">
        <f t="shared" si="0"/>
        <v>2925.7170418006431</v>
      </c>
      <c r="V17" s="157">
        <f t="shared" si="1"/>
        <v>1516496.6666666667</v>
      </c>
      <c r="W17" s="172" t="s">
        <v>351</v>
      </c>
      <c r="X17" s="163" t="s">
        <v>54</v>
      </c>
      <c r="Y17" s="159">
        <v>0</v>
      </c>
      <c r="Z17" s="171" t="s">
        <v>54</v>
      </c>
      <c r="AA17" s="174" t="s">
        <v>54</v>
      </c>
      <c r="AB17" s="171" t="s">
        <v>54</v>
      </c>
      <c r="AC17" s="154">
        <v>69456</v>
      </c>
      <c r="AD17" s="157">
        <f>Table1[[#This Row],[Annual Debt Service on Schools Only As Of FY2017]]/Table1[[#This Row],[Total Schools]]</f>
        <v>11576</v>
      </c>
      <c r="AE17" s="157">
        <f>Table1[[#This Row],[Annual Debt Service on Schools Only As Of FY2017]]/Table1[[#This Row],[M-1 ADM FY2017]]</f>
        <v>22.333118971061094</v>
      </c>
      <c r="AF17" s="150">
        <v>2</v>
      </c>
      <c r="AG17" s="150">
        <v>2</v>
      </c>
      <c r="AH17" s="150">
        <v>2</v>
      </c>
      <c r="AI17" s="150">
        <v>0</v>
      </c>
      <c r="AJ17" s="150">
        <f t="shared" si="2"/>
        <v>6</v>
      </c>
      <c r="AK17" s="151">
        <f>Table1[[#This Row],[M-1 ADM FY2017]]/Table1[[#This Row],[Total Schools]]</f>
        <v>518.33333333333337</v>
      </c>
      <c r="AR17"/>
      <c r="AS17"/>
      <c r="AW17"/>
    </row>
    <row r="18" spans="1:49" x14ac:dyDescent="0.25">
      <c r="A18" s="150" t="s">
        <v>345</v>
      </c>
      <c r="B18" s="150" t="s">
        <v>350</v>
      </c>
      <c r="C18" s="151">
        <v>63</v>
      </c>
      <c r="D18" s="173">
        <v>0.5</v>
      </c>
      <c r="E18" s="152">
        <v>3004</v>
      </c>
      <c r="F18" s="152">
        <v>4741903</v>
      </c>
      <c r="G18" s="152">
        <v>31736909</v>
      </c>
      <c r="H18" s="153">
        <v>21188004</v>
      </c>
      <c r="I18" s="153">
        <v>2255331</v>
      </c>
      <c r="J18" s="154">
        <v>1493</v>
      </c>
      <c r="K18" s="152">
        <v>100000</v>
      </c>
      <c r="L18" s="153">
        <f>Table1[[#This Row],[Total FY 2017 Local Budget (Current Expense + Capital)]]/Table1[[#This Row],[M-1 ADM FY2017]]</f>
        <v>1578.5296271637817</v>
      </c>
      <c r="M18" s="153">
        <f>Table1[[#This Row],[Capital Outlay FY2017]]/Table1[[#This Row],[M-1 ADM FY2017]]</f>
        <v>33.288948069241009</v>
      </c>
      <c r="N18" s="153">
        <f>Table1[[#This Row],[Capital Outlay FY2017]]/Table1[[#This Row],[Total Schools]]</f>
        <v>20000</v>
      </c>
      <c r="O18" s="153">
        <f>Table1[[#This Row],[FY2016 Total Expenditures]]/Table1[[#This Row],[Total Schools]]</f>
        <v>6347381.7999999998</v>
      </c>
      <c r="P18" s="153">
        <f>Table1[[#This Row],[Total FY 2017 Local Budget (Current Expense + Capital)]]/Table1[[#This Row],[Total Schools]]</f>
        <v>948380.6</v>
      </c>
      <c r="Q18" s="153">
        <f>Table1[[#This Row],[FY2016 Total Expenditures]]/Table1[[#This Row],[M-1 ADM FY2017]]</f>
        <v>10564.883155792277</v>
      </c>
      <c r="R18" s="153">
        <f>Table1[[#This Row],[FY2016 State Public School Fund Revenues]]/Table1[[#This Row],[M-1 ADM FY2017]]</f>
        <v>7053.2636484687082</v>
      </c>
      <c r="S18" s="153">
        <f>Table1[[#This Row],[FY2016 Federal Grant Revenues]]/Table1[[#This Row],[M-1 ADM FY2017]]</f>
        <v>750.77596537949398</v>
      </c>
      <c r="T18" s="155">
        <v>29014949</v>
      </c>
      <c r="U18" s="156">
        <f t="shared" si="0"/>
        <v>9658.7713049267641</v>
      </c>
      <c r="V18" s="157">
        <f t="shared" si="1"/>
        <v>5802989.7999999998</v>
      </c>
      <c r="W18" s="150">
        <v>2000</v>
      </c>
      <c r="X18" s="163" t="s">
        <v>54</v>
      </c>
      <c r="Y18" s="159">
        <v>0</v>
      </c>
      <c r="Z18" s="158">
        <v>40504</v>
      </c>
      <c r="AA18" s="159">
        <v>2896202</v>
      </c>
      <c r="AB18" s="171" t="s">
        <v>54</v>
      </c>
      <c r="AC18" s="154">
        <v>1720672</v>
      </c>
      <c r="AD18" s="157">
        <f>Table1[[#This Row],[Annual Debt Service on Schools Only As Of FY2017]]/Table1[[#This Row],[Total Schools]]</f>
        <v>344134.40000000002</v>
      </c>
      <c r="AE18" s="157">
        <f>Table1[[#This Row],[Annual Debt Service on Schools Only As Of FY2017]]/Table1[[#This Row],[M-1 ADM FY2017]]</f>
        <v>572.79360852197067</v>
      </c>
      <c r="AF18" s="150">
        <v>1</v>
      </c>
      <c r="AG18" s="150">
        <v>1</v>
      </c>
      <c r="AH18" s="150">
        <v>3</v>
      </c>
      <c r="AI18" s="150">
        <v>0</v>
      </c>
      <c r="AJ18" s="150">
        <f t="shared" si="2"/>
        <v>5</v>
      </c>
      <c r="AK18" s="151">
        <f>Table1[[#This Row],[M-1 ADM FY2017]]/Table1[[#This Row],[Total Schools]]</f>
        <v>600.79999999999995</v>
      </c>
      <c r="AR18"/>
      <c r="AS18"/>
      <c r="AW18"/>
    </row>
    <row r="19" spans="1:49" x14ac:dyDescent="0.25">
      <c r="A19" s="150" t="s">
        <v>361</v>
      </c>
      <c r="B19" s="150" t="s">
        <v>362</v>
      </c>
      <c r="C19" s="151">
        <v>150</v>
      </c>
      <c r="D19" s="167">
        <v>0</v>
      </c>
      <c r="E19" s="152">
        <v>600</v>
      </c>
      <c r="F19" s="152">
        <v>842079</v>
      </c>
      <c r="G19" s="152">
        <v>8939565</v>
      </c>
      <c r="H19" s="153">
        <v>6684512</v>
      </c>
      <c r="I19" s="153">
        <v>703750</v>
      </c>
      <c r="J19" s="177">
        <f>Table1[[#This Row],[Total FY 2017 Local Budget (Current Expense + Capital)]]/Table1[[#This Row],[M-1 ADM FY2017]]</f>
        <v>1403.4649999999999</v>
      </c>
      <c r="K19" s="152">
        <v>0</v>
      </c>
      <c r="L19" s="153">
        <f>Table1[[#This Row],[Total FY 2017 Local Budget (Current Expense + Capital)]]/Table1[[#This Row],[M-1 ADM FY2017]]</f>
        <v>1403.4649999999999</v>
      </c>
      <c r="M19" s="153">
        <f>Table1[[#This Row],[Capital Outlay FY2017]]/Table1[[#This Row],[M-1 ADM FY2017]]</f>
        <v>0</v>
      </c>
      <c r="N19" s="153">
        <f>Table1[[#This Row],[Capital Outlay FY2017]]/Table1[[#This Row],[Total Schools]]</f>
        <v>0</v>
      </c>
      <c r="O19" s="153">
        <f>Table1[[#This Row],[FY2016 Total Expenditures]]/Table1[[#This Row],[Total Schools]]</f>
        <v>2979855</v>
      </c>
      <c r="P19" s="153">
        <f>Table1[[#This Row],[Total FY 2017 Local Budget (Current Expense + Capital)]]/Table1[[#This Row],[Total Schools]]</f>
        <v>280693</v>
      </c>
      <c r="Q19" s="153">
        <f>Table1[[#This Row],[FY2016 Total Expenditures]]/Table1[[#This Row],[M-1 ADM FY2017]]</f>
        <v>14899.275</v>
      </c>
      <c r="R19" s="153">
        <f>Table1[[#This Row],[FY2016 State Public School Fund Revenues]]/Table1[[#This Row],[M-1 ADM FY2017]]</f>
        <v>11140.853333333333</v>
      </c>
      <c r="S19" s="153">
        <f>Table1[[#This Row],[FY2016 Federal Grant Revenues]]/Table1[[#This Row],[M-1 ADM FY2017]]</f>
        <v>1172.9166666666667</v>
      </c>
      <c r="T19" s="155">
        <v>120156</v>
      </c>
      <c r="U19" s="170">
        <f t="shared" si="0"/>
        <v>200.26</v>
      </c>
      <c r="V19" s="157">
        <f t="shared" si="1"/>
        <v>40052</v>
      </c>
      <c r="W19" s="172" t="s">
        <v>351</v>
      </c>
      <c r="X19" s="163" t="s">
        <v>54</v>
      </c>
      <c r="Y19" s="159">
        <v>0</v>
      </c>
      <c r="Z19" s="158"/>
      <c r="AA19" s="159"/>
      <c r="AB19" s="158"/>
      <c r="AC19" s="154">
        <v>0</v>
      </c>
      <c r="AD19" s="157">
        <f>Table1[[#This Row],[Annual Debt Service on Schools Only As Of FY2017]]/Table1[[#This Row],[Total Schools]]</f>
        <v>0</v>
      </c>
      <c r="AE19" s="157">
        <f>Table1[[#This Row],[Annual Debt Service on Schools Only As Of FY2017]]/Table1[[#This Row],[M-1 ADM FY2017]]</f>
        <v>0</v>
      </c>
      <c r="AF19" s="150">
        <v>1</v>
      </c>
      <c r="AG19" s="150">
        <v>1</v>
      </c>
      <c r="AH19" s="150">
        <v>1</v>
      </c>
      <c r="AI19" s="150">
        <v>0</v>
      </c>
      <c r="AJ19" s="150">
        <f t="shared" si="2"/>
        <v>3</v>
      </c>
      <c r="AK19" s="173">
        <f>Table1[[#This Row],[M-1 ADM FY2017]]/Table1[[#This Row],[Total Schools]]</f>
        <v>200</v>
      </c>
      <c r="AR19"/>
      <c r="AS19"/>
      <c r="AW19"/>
    </row>
    <row r="20" spans="1:49" x14ac:dyDescent="0.25">
      <c r="A20" s="150" t="s">
        <v>363</v>
      </c>
      <c r="B20" s="150" t="s">
        <v>362</v>
      </c>
      <c r="C20" s="151">
        <v>42</v>
      </c>
      <c r="D20" s="167">
        <v>0</v>
      </c>
      <c r="E20" s="168">
        <v>589</v>
      </c>
      <c r="F20" s="168">
        <v>1847288</v>
      </c>
      <c r="G20" s="168">
        <v>10733772</v>
      </c>
      <c r="H20" s="169">
        <v>7386517</v>
      </c>
      <c r="I20" s="169">
        <v>922918</v>
      </c>
      <c r="J20" s="176">
        <v>2639</v>
      </c>
      <c r="K20" s="168">
        <v>274760</v>
      </c>
      <c r="L20" s="169">
        <f>Table1[[#This Row],[Total FY 2017 Local Budget (Current Expense + Capital)]]/Table1[[#This Row],[M-1 ADM FY2017]]</f>
        <v>3136.3123938879457</v>
      </c>
      <c r="M20" s="169">
        <f>Table1[[#This Row],[Capital Outlay FY2017]]/Table1[[#This Row],[M-1 ADM FY2017]]</f>
        <v>466.48556876061122</v>
      </c>
      <c r="N20" s="169">
        <f>Table1[[#This Row],[Capital Outlay FY2017]]/Table1[[#This Row],[Total Schools]]</f>
        <v>91586.666666666672</v>
      </c>
      <c r="O20" s="169">
        <f>Table1[[#This Row],[FY2016 Total Expenditures]]/Table1[[#This Row],[Total Schools]]</f>
        <v>3577924</v>
      </c>
      <c r="P20" s="169">
        <f>Table1[[#This Row],[Total FY 2017 Local Budget (Current Expense + Capital)]]/Table1[[#This Row],[Total Schools]]</f>
        <v>615762.66666666663</v>
      </c>
      <c r="Q20" s="169">
        <f>Table1[[#This Row],[FY2016 Total Expenditures]]/Table1[[#This Row],[M-1 ADM FY2017]]</f>
        <v>18223.72156196944</v>
      </c>
      <c r="R20" s="169">
        <f>Table1[[#This Row],[FY2016 State Public School Fund Revenues]]/Table1[[#This Row],[M-1 ADM FY2017]]</f>
        <v>12540.775891341256</v>
      </c>
      <c r="S20" s="169">
        <f>Table1[[#This Row],[FY2016 Federal Grant Revenues]]/Table1[[#This Row],[M-1 ADM FY2017]]</f>
        <v>1566.9235993208829</v>
      </c>
      <c r="T20" s="155">
        <v>3201776</v>
      </c>
      <c r="U20" s="170">
        <f t="shared" si="0"/>
        <v>5435.9524617996603</v>
      </c>
      <c r="V20" s="157">
        <f t="shared" si="1"/>
        <v>1067258.6666666667</v>
      </c>
      <c r="W20" s="172" t="s">
        <v>351</v>
      </c>
      <c r="X20" s="163" t="s">
        <v>54</v>
      </c>
      <c r="Y20" s="159">
        <v>0</v>
      </c>
      <c r="Z20" s="158">
        <v>40469</v>
      </c>
      <c r="AA20" s="159">
        <v>3002692</v>
      </c>
      <c r="AB20" s="158"/>
      <c r="AC20" s="154">
        <v>274760</v>
      </c>
      <c r="AD20" s="157">
        <f>Table1[[#This Row],[Annual Debt Service on Schools Only As Of FY2017]]/Table1[[#This Row],[Total Schools]]</f>
        <v>91586.666666666672</v>
      </c>
      <c r="AE20" s="157">
        <f>Table1[[#This Row],[Annual Debt Service on Schools Only As Of FY2017]]/Table1[[#This Row],[M-1 ADM FY2017]]</f>
        <v>466.48556876061122</v>
      </c>
      <c r="AF20" s="150">
        <v>1</v>
      </c>
      <c r="AG20" s="150">
        <v>0</v>
      </c>
      <c r="AH20" s="150">
        <v>1</v>
      </c>
      <c r="AI20" s="150">
        <v>1</v>
      </c>
      <c r="AJ20" s="150">
        <f t="shared" si="2"/>
        <v>3</v>
      </c>
      <c r="AK20" s="151">
        <f>Table1[[#This Row],[M-1 ADM FY2017]]/Table1[[#This Row],[Total Schools]]</f>
        <v>196.33333333333334</v>
      </c>
      <c r="AR20"/>
      <c r="AS20"/>
      <c r="AW20"/>
    </row>
    <row r="21" spans="1:49" x14ac:dyDescent="0.25">
      <c r="A21" t="s">
        <v>1</v>
      </c>
      <c r="C21" s="8"/>
      <c r="D21" s="124">
        <f>MEDIAN(Table1[% in Charter School])</f>
        <v>4.4000000000000004</v>
      </c>
      <c r="E21" s="11"/>
      <c r="F21" s="11"/>
      <c r="G21" s="11"/>
      <c r="H21" s="11"/>
      <c r="I21" s="11"/>
      <c r="J21" s="85">
        <f>MEDIAN(Table1[Current Expense Per ADM  (FY2017)])</f>
        <v>1801</v>
      </c>
      <c r="K21" s="11"/>
      <c r="L21" s="85">
        <f>MEDIAN(Table1[Total Current Expense+Cap Per ''17 M1 ADM])</f>
        <v>2092.9427277570589</v>
      </c>
      <c r="M21" s="85">
        <f>MEDIAN(Table1[Annual Capital Outlay Per ADM])</f>
        <v>118.80894037276305</v>
      </c>
      <c r="N21" s="85">
        <f>MEDIAN(Table1[FY2017 Annual Capital Outlay per Facility])</f>
        <v>59688.800000000003</v>
      </c>
      <c r="O21" s="85">
        <f>MEDIAN(Table1[Total Expense By '# of Schools])</f>
        <v>4399034.111111111</v>
      </c>
      <c r="P21" s="85"/>
      <c r="Q21" s="85">
        <f>MEDIAN(Table1[Total Expense Per ADM (H by E)])</f>
        <v>10564.883155792277</v>
      </c>
      <c r="R21" s="85">
        <f>MEDIAN(Table1[FY 2016 State Public School Fund Revenues by ADM])</f>
        <v>6190.8193685488768</v>
      </c>
      <c r="S21" s="85">
        <f>MEDIAN(Table1[FY2016 Federal Grant Fund by ADM])</f>
        <v>793.99682640431604</v>
      </c>
      <c r="T21" s="12"/>
      <c r="U21" s="113"/>
      <c r="V21" s="25"/>
      <c r="W21" s="6"/>
      <c r="X21" s="14"/>
      <c r="Y21" s="16"/>
      <c r="Z21" s="6"/>
      <c r="AA21" s="16"/>
      <c r="AB21"/>
      <c r="AC21" s="9"/>
      <c r="AD21" s="25"/>
      <c r="AE21" s="25">
        <f>AVERAGE(Table1[Annual Debt Service by ADM])</f>
        <v>520.2502057111958</v>
      </c>
      <c r="AF21"/>
      <c r="AG21"/>
      <c r="AK21" s="28">
        <f>MEDIAN(Table1[ADM to Schools Ratio])</f>
        <v>415.78571428571428</v>
      </c>
      <c r="AL21" s="3"/>
      <c r="AR21"/>
      <c r="AS21"/>
      <c r="AW21"/>
    </row>
    <row r="22" spans="1:49" x14ac:dyDescent="0.25">
      <c r="A22" s="93" t="s">
        <v>322</v>
      </c>
    </row>
    <row r="23" spans="1:49" x14ac:dyDescent="0.25">
      <c r="A23" s="92" t="s">
        <v>320</v>
      </c>
    </row>
    <row r="24" spans="1:49" x14ac:dyDescent="0.25">
      <c r="A24" s="91" t="s">
        <v>319</v>
      </c>
    </row>
    <row r="25" spans="1:49" x14ac:dyDescent="0.25">
      <c r="A25" s="95" t="s">
        <v>323</v>
      </c>
    </row>
    <row r="26" spans="1:49" x14ac:dyDescent="0.25">
      <c r="A26" s="134" t="s">
        <v>391</v>
      </c>
    </row>
    <row r="27" spans="1:49" x14ac:dyDescent="0.25">
      <c r="A27" s="86" t="s">
        <v>321</v>
      </c>
    </row>
    <row r="28" spans="1:49" x14ac:dyDescent="0.25">
      <c r="A28" s="94" t="s">
        <v>389</v>
      </c>
    </row>
    <row r="29" spans="1:49" x14ac:dyDescent="0.25">
      <c r="A29" s="7"/>
    </row>
    <row r="30" spans="1:49" x14ac:dyDescent="0.25">
      <c r="A30" s="7"/>
    </row>
  </sheetData>
  <sheetProtection algorithmName="SHA-512" hashValue="CvOxia9hz1pX+WDfIYC6+FeA6QAO8A75nYDa4kZLC4abYmfreho0rwRY3boSzGjJzlCvWr4oepgyYEEekmAcqg==" saltValue="SDC/42zGaIlA5rVzVarnsg==" spinCount="100000" sheet="1" objects="1" scenarios="1" selectLockedCells="1" sort="0" autoFilter="0" pivotTables="0" selectUnlockedCells="1"/>
  <sortState ref="A5:D13">
    <sortCondition descending="1" ref="C2:C12"/>
  </sortState>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topLeftCell="B1" workbookViewId="0">
      <selection activeCell="D11" sqref="D11"/>
    </sheetView>
  </sheetViews>
  <sheetFormatPr defaultRowHeight="15" x14ac:dyDescent="0.25"/>
  <cols>
    <col min="1" max="1" width="24.28515625" customWidth="1"/>
    <col min="2" max="2" width="36.7109375" customWidth="1"/>
    <col min="3" max="3" width="17.28515625" customWidth="1"/>
    <col min="4" max="4" width="16.5703125" customWidth="1"/>
    <col min="5" max="5" width="31.140625" customWidth="1"/>
    <col min="6" max="6" width="20.7109375" style="9" customWidth="1"/>
    <col min="7" max="9" width="31.5703125" customWidth="1"/>
    <col min="10" max="10" width="31.140625" style="126" customWidth="1"/>
    <col min="11" max="11" width="28.85546875" style="126" customWidth="1"/>
  </cols>
  <sheetData>
    <row r="1" spans="1:11" ht="79.900000000000006" customHeight="1" x14ac:dyDescent="0.25">
      <c r="A1" s="179" t="s">
        <v>43</v>
      </c>
      <c r="B1" s="179" t="s">
        <v>39</v>
      </c>
      <c r="C1" s="180" t="s">
        <v>306</v>
      </c>
      <c r="D1" s="181" t="s">
        <v>51</v>
      </c>
      <c r="E1" s="182" t="s">
        <v>307</v>
      </c>
      <c r="F1" s="183" t="s">
        <v>376</v>
      </c>
      <c r="G1" s="184" t="s">
        <v>375</v>
      </c>
      <c r="H1" s="185" t="s">
        <v>377</v>
      </c>
      <c r="I1" s="185" t="s">
        <v>378</v>
      </c>
      <c r="J1" s="182" t="s">
        <v>370</v>
      </c>
      <c r="K1" s="182" t="s">
        <v>371</v>
      </c>
    </row>
    <row r="2" spans="1:11" s="6" customFormat="1" x14ac:dyDescent="0.25">
      <c r="A2" s="186" t="s">
        <v>361</v>
      </c>
      <c r="B2" s="186" t="s">
        <v>362</v>
      </c>
      <c r="C2" s="187">
        <v>600</v>
      </c>
      <c r="D2" s="188">
        <v>3</v>
      </c>
      <c r="E2" s="187">
        <v>842079</v>
      </c>
      <c r="F2" s="192">
        <v>0.69</v>
      </c>
      <c r="G2" s="193">
        <v>453068660</v>
      </c>
      <c r="H2" s="193">
        <f>Table4[[#This Row],[Assessed Value FY17]]/Table4[[#This Row],[M-1 ADM FY2017]]</f>
        <v>755114.43333333335</v>
      </c>
      <c r="I2" s="193">
        <f>Table4[[#This Row],[Assessed Value FY17]]/Table4[[#This Row],[Total Schools]]</f>
        <v>151022886.66666666</v>
      </c>
      <c r="J2" s="191" t="s">
        <v>384</v>
      </c>
      <c r="K2" s="191" t="s">
        <v>379</v>
      </c>
    </row>
    <row r="3" spans="1:11" s="6" customFormat="1" x14ac:dyDescent="0.25">
      <c r="A3" s="186" t="s">
        <v>363</v>
      </c>
      <c r="B3" s="186" t="s">
        <v>362</v>
      </c>
      <c r="C3" s="187">
        <v>589</v>
      </c>
      <c r="D3" s="188">
        <v>3</v>
      </c>
      <c r="E3" s="187">
        <v>1847288</v>
      </c>
      <c r="F3" s="189" t="s">
        <v>351</v>
      </c>
      <c r="G3" s="190" t="s">
        <v>351</v>
      </c>
      <c r="H3" s="190" t="s">
        <v>379</v>
      </c>
      <c r="I3" s="190" t="s">
        <v>379</v>
      </c>
      <c r="J3" s="191" t="s">
        <v>384</v>
      </c>
      <c r="K3" s="191" t="s">
        <v>379</v>
      </c>
    </row>
    <row r="4" spans="1:11" s="6" customFormat="1" x14ac:dyDescent="0.25">
      <c r="A4" s="186" t="s">
        <v>345</v>
      </c>
      <c r="B4" s="186" t="s">
        <v>350</v>
      </c>
      <c r="C4" s="187">
        <v>3004</v>
      </c>
      <c r="D4" s="188">
        <v>5</v>
      </c>
      <c r="E4" s="187">
        <v>4741903</v>
      </c>
      <c r="F4" s="192">
        <v>0.433</v>
      </c>
      <c r="G4" s="193">
        <v>3893892500</v>
      </c>
      <c r="H4" s="193">
        <f>Table4[[#This Row],[Assessed Value FY17]]/Table4[[#This Row],[M-1 ADM FY2017]]</f>
        <v>1296235.8521970706</v>
      </c>
      <c r="I4" s="193">
        <f>Table4[[#This Row],[Assessed Value FY17]]/Table4[[#This Row],[Total Schools]]</f>
        <v>778778500</v>
      </c>
      <c r="J4" s="191" t="s">
        <v>372</v>
      </c>
      <c r="K4" s="191" t="s">
        <v>382</v>
      </c>
    </row>
    <row r="5" spans="1:11" s="6" customFormat="1" x14ac:dyDescent="0.25">
      <c r="A5" s="186" t="s">
        <v>346</v>
      </c>
      <c r="B5" s="186" t="s">
        <v>350</v>
      </c>
      <c r="C5" s="187">
        <v>3110</v>
      </c>
      <c r="D5" s="188">
        <v>6</v>
      </c>
      <c r="E5" s="187">
        <v>2801644</v>
      </c>
      <c r="F5" s="192">
        <v>0.78600000000000003</v>
      </c>
      <c r="G5" s="193">
        <v>1105113757</v>
      </c>
      <c r="H5" s="193">
        <f>Table4[[#This Row],[Assessed Value FY17]]/Table4[[#This Row],[M-1 ADM FY2017]]</f>
        <v>355342.04405144695</v>
      </c>
      <c r="I5" s="193">
        <f>Table4[[#This Row],[Assessed Value FY17]]/Table4[[#This Row],[Total Schools]]</f>
        <v>184185626.16666666</v>
      </c>
      <c r="J5" s="191" t="s">
        <v>384</v>
      </c>
      <c r="K5" s="191" t="s">
        <v>379</v>
      </c>
    </row>
    <row r="6" spans="1:11" s="6" customFormat="1" x14ac:dyDescent="0.25">
      <c r="A6" s="186" t="s">
        <v>33</v>
      </c>
      <c r="B6" s="186" t="s">
        <v>368</v>
      </c>
      <c r="C6" s="187">
        <v>3754</v>
      </c>
      <c r="D6" s="188">
        <v>9</v>
      </c>
      <c r="E6" s="187">
        <v>7856907</v>
      </c>
      <c r="F6" s="192">
        <v>0.37</v>
      </c>
      <c r="G6" s="193">
        <v>9274970668</v>
      </c>
      <c r="H6" s="193">
        <f>Table4[[#This Row],[Assessed Value FY17]]/Table4[[#This Row],[M-1 ADM FY2017]]</f>
        <v>2470690.1086840704</v>
      </c>
      <c r="I6" s="193">
        <f>Table4[[#This Row],[Assessed Value FY17]]/Table4[[#This Row],[Total Schools]]</f>
        <v>1030552296.4444444</v>
      </c>
      <c r="J6" s="191" t="s">
        <v>372</v>
      </c>
      <c r="K6" s="191" t="s">
        <v>385</v>
      </c>
    </row>
    <row r="7" spans="1:11" s="6" customFormat="1" x14ac:dyDescent="0.25">
      <c r="A7" s="195" t="s">
        <v>41</v>
      </c>
      <c r="B7" s="186" t="s">
        <v>2</v>
      </c>
      <c r="C7" s="187">
        <v>3402</v>
      </c>
      <c r="D7" s="188">
        <v>9</v>
      </c>
      <c r="E7" s="187">
        <v>13227315</v>
      </c>
      <c r="F7" s="192">
        <v>0.51100000000000001</v>
      </c>
      <c r="G7" s="193">
        <v>5640000000</v>
      </c>
      <c r="H7" s="193">
        <f>Table4[[#This Row],[Assessed Value FY17]]/Table4[[#This Row],[M-1 ADM FY2017]]</f>
        <v>1657848.3245149911</v>
      </c>
      <c r="I7" s="193">
        <f>Table4[[#This Row],[Assessed Value FY17]]/Table4[[#This Row],[Total Schools]]</f>
        <v>626666666.66666663</v>
      </c>
      <c r="J7" s="191" t="s">
        <v>384</v>
      </c>
      <c r="K7" s="191" t="s">
        <v>379</v>
      </c>
    </row>
    <row r="8" spans="1:11" s="6" customFormat="1" x14ac:dyDescent="0.25">
      <c r="A8" s="186" t="s">
        <v>347</v>
      </c>
      <c r="B8" s="186" t="s">
        <v>350</v>
      </c>
      <c r="C8" s="187">
        <v>3151</v>
      </c>
      <c r="D8" s="188">
        <v>10</v>
      </c>
      <c r="E8" s="187">
        <v>6250888</v>
      </c>
      <c r="F8" s="192">
        <v>0.73499999999999999</v>
      </c>
      <c r="G8" s="193">
        <v>1722088749</v>
      </c>
      <c r="H8" s="193">
        <f>Table4[[#This Row],[Assessed Value FY17]]/Table4[[#This Row],[M-1 ADM FY2017]]</f>
        <v>546521.34211361478</v>
      </c>
      <c r="I8" s="193">
        <f>Table4[[#This Row],[Assessed Value FY17]]/Table4[[#This Row],[Total Schools]]</f>
        <v>172208874.90000001</v>
      </c>
      <c r="J8" s="191" t="s">
        <v>372</v>
      </c>
      <c r="K8" s="191" t="s">
        <v>385</v>
      </c>
    </row>
    <row r="9" spans="1:11" s="6" customFormat="1" x14ac:dyDescent="0.25">
      <c r="A9" s="186" t="s">
        <v>36</v>
      </c>
      <c r="B9" s="186" t="s">
        <v>367</v>
      </c>
      <c r="C9" s="187">
        <v>4976</v>
      </c>
      <c r="D9" s="188">
        <v>11</v>
      </c>
      <c r="E9" s="187">
        <v>23075113</v>
      </c>
      <c r="F9" s="192">
        <v>0.43</v>
      </c>
      <c r="G9" s="193">
        <v>13065000000</v>
      </c>
      <c r="H9" s="193">
        <f>Table4[[#This Row],[Assessed Value FY17]]/Table4[[#This Row],[M-1 ADM FY2017]]</f>
        <v>2625602.8938906752</v>
      </c>
      <c r="I9" s="193">
        <f>Table4[[#This Row],[Assessed Value FY17]]/Table4[[#This Row],[Total Schools]]</f>
        <v>1187727272.7272727</v>
      </c>
      <c r="J9" s="191" t="s">
        <v>384</v>
      </c>
      <c r="K9" s="191" t="s">
        <v>379</v>
      </c>
    </row>
    <row r="10" spans="1:11" s="6" customFormat="1" x14ac:dyDescent="0.25">
      <c r="A10" s="186" t="s">
        <v>37</v>
      </c>
      <c r="B10" s="186" t="s">
        <v>53</v>
      </c>
      <c r="C10" s="187">
        <v>4341</v>
      </c>
      <c r="D10" s="188">
        <v>11</v>
      </c>
      <c r="E10" s="187">
        <v>19547575</v>
      </c>
      <c r="F10" s="192">
        <v>0.34899999999999998</v>
      </c>
      <c r="G10" s="193">
        <v>7895015172</v>
      </c>
      <c r="H10" s="193">
        <f>Table4[[#This Row],[Assessed Value FY17]]/Table4[[#This Row],[M-1 ADM FY2017]]</f>
        <v>1818708.8624740844</v>
      </c>
      <c r="I10" s="193">
        <f>Table4[[#This Row],[Assessed Value FY17]]/Table4[[#This Row],[Total Schools]]</f>
        <v>717728652</v>
      </c>
      <c r="J10" s="191" t="s">
        <v>384</v>
      </c>
      <c r="K10" s="191" t="s">
        <v>379</v>
      </c>
    </row>
    <row r="11" spans="1:11" s="6" customFormat="1" x14ac:dyDescent="0.25">
      <c r="A11" s="186" t="s">
        <v>35</v>
      </c>
      <c r="B11" s="186" t="s">
        <v>367</v>
      </c>
      <c r="C11" s="187">
        <v>3910</v>
      </c>
      <c r="D11" s="188">
        <v>11</v>
      </c>
      <c r="E11" s="187">
        <v>5459000</v>
      </c>
      <c r="F11" s="192">
        <v>0.62</v>
      </c>
      <c r="G11" s="193">
        <v>3008836344</v>
      </c>
      <c r="H11" s="193">
        <f>Table4[[#This Row],[Assessed Value FY17]]/Table4[[#This Row],[M-1 ADM FY2017]]</f>
        <v>769523.36163682863</v>
      </c>
      <c r="I11" s="193">
        <f>Table4[[#This Row],[Assessed Value FY17]]/Table4[[#This Row],[Total Schools]]</f>
        <v>273530576.72727275</v>
      </c>
      <c r="J11" s="191" t="s">
        <v>372</v>
      </c>
      <c r="K11" s="191" t="s">
        <v>386</v>
      </c>
    </row>
    <row r="12" spans="1:11" s="6" customFormat="1" x14ac:dyDescent="0.25">
      <c r="A12" s="186" t="s">
        <v>348</v>
      </c>
      <c r="B12" s="186" t="s">
        <v>350</v>
      </c>
      <c r="C12" s="187">
        <v>3329</v>
      </c>
      <c r="D12" s="188">
        <v>11</v>
      </c>
      <c r="E12" s="187">
        <v>3784598</v>
      </c>
      <c r="F12" s="189" t="s">
        <v>54</v>
      </c>
      <c r="G12" s="190" t="s">
        <v>351</v>
      </c>
      <c r="H12" s="190" t="s">
        <v>379</v>
      </c>
      <c r="I12" s="190" t="s">
        <v>379</v>
      </c>
      <c r="J12" s="191" t="s">
        <v>384</v>
      </c>
      <c r="K12" s="191" t="s">
        <v>379</v>
      </c>
    </row>
    <row r="13" spans="1:11" s="6" customFormat="1" x14ac:dyDescent="0.25">
      <c r="A13" s="186" t="s">
        <v>189</v>
      </c>
      <c r="B13" s="186" t="s">
        <v>53</v>
      </c>
      <c r="C13" s="187">
        <v>4511</v>
      </c>
      <c r="D13" s="188">
        <v>13</v>
      </c>
      <c r="E13" s="187">
        <v>16780761</v>
      </c>
      <c r="F13" s="192">
        <v>0.82</v>
      </c>
      <c r="G13" s="193">
        <v>2628812653</v>
      </c>
      <c r="H13" s="193">
        <f>Table4[[#This Row],[Assessed Value FY17]]/Table4[[#This Row],[M-1 ADM FY2017]]</f>
        <v>582756.0747062735</v>
      </c>
      <c r="I13" s="193">
        <f>Table4[[#This Row],[Assessed Value FY17]]/Table4[[#This Row],[Total Schools]]</f>
        <v>202216357.92307693</v>
      </c>
      <c r="J13" s="191" t="s">
        <v>380</v>
      </c>
      <c r="K13" s="191" t="s">
        <v>381</v>
      </c>
    </row>
    <row r="14" spans="1:11" s="6" customFormat="1" x14ac:dyDescent="0.25">
      <c r="A14" s="186" t="s">
        <v>34</v>
      </c>
      <c r="B14" s="186" t="s">
        <v>53</v>
      </c>
      <c r="C14" s="187">
        <v>5821</v>
      </c>
      <c r="D14" s="188">
        <v>14</v>
      </c>
      <c r="E14" s="187">
        <v>10958013</v>
      </c>
      <c r="F14" s="192">
        <v>1.02</v>
      </c>
      <c r="G14" s="193">
        <v>2116530047</v>
      </c>
      <c r="H14" s="193">
        <f>Table4[[#This Row],[Assessed Value FY17]]/Table4[[#This Row],[M-1 ADM FY2017]]</f>
        <v>363602.4818759663</v>
      </c>
      <c r="I14" s="193">
        <f>Table4[[#This Row],[Assessed Value FY17]]/Table4[[#This Row],[Total Schools]]</f>
        <v>151180717.64285713</v>
      </c>
      <c r="J14" s="191" t="s">
        <v>380</v>
      </c>
      <c r="K14" s="191" t="s">
        <v>387</v>
      </c>
    </row>
    <row r="15" spans="1:11" s="6" customFormat="1" x14ac:dyDescent="0.25">
      <c r="A15" s="186" t="s">
        <v>349</v>
      </c>
      <c r="B15" s="186" t="s">
        <v>350</v>
      </c>
      <c r="C15" s="187">
        <v>3294</v>
      </c>
      <c r="D15" s="188">
        <v>14</v>
      </c>
      <c r="E15" s="187">
        <v>6546803</v>
      </c>
      <c r="F15" s="192">
        <v>0.52</v>
      </c>
      <c r="G15" s="193">
        <v>3092721300</v>
      </c>
      <c r="H15" s="193">
        <f>Table4[[#This Row],[Assessed Value FY17]]/Table4[[#This Row],[M-1 ADM FY2017]]</f>
        <v>938895.35519125685</v>
      </c>
      <c r="I15" s="193">
        <f>Table4[[#This Row],[Assessed Value FY17]]/Table4[[#This Row],[Total Schools]]</f>
        <v>220908664.2857143</v>
      </c>
      <c r="J15" s="191" t="s">
        <v>372</v>
      </c>
      <c r="K15" s="191" t="s">
        <v>385</v>
      </c>
    </row>
    <row r="16" spans="1:11" s="6" customFormat="1" x14ac:dyDescent="0.25">
      <c r="A16" s="186" t="s">
        <v>38</v>
      </c>
      <c r="B16" s="186" t="s">
        <v>40</v>
      </c>
      <c r="C16" s="187">
        <v>7156</v>
      </c>
      <c r="D16" s="188">
        <v>16</v>
      </c>
      <c r="E16" s="187">
        <v>15747929</v>
      </c>
      <c r="F16" s="192">
        <v>0.56610000000000005</v>
      </c>
      <c r="G16" s="193">
        <v>7423777954</v>
      </c>
      <c r="H16" s="193">
        <f>Table4[[#This Row],[Assessed Value FY17]]/Table4[[#This Row],[M-1 ADM FY2017]]</f>
        <v>1037420.060648407</v>
      </c>
      <c r="I16" s="193">
        <f>Table4[[#This Row],[Assessed Value FY17]]/Table4[[#This Row],[Total Schools]]</f>
        <v>463986122.125</v>
      </c>
      <c r="J16" s="191" t="s">
        <v>372</v>
      </c>
      <c r="K16" s="191" t="s">
        <v>383</v>
      </c>
    </row>
    <row r="17" spans="1:11" s="6" customFormat="1" x14ac:dyDescent="0.25">
      <c r="A17" s="186" t="s">
        <v>32</v>
      </c>
      <c r="B17" s="186" t="s">
        <v>40</v>
      </c>
      <c r="C17" s="187">
        <v>13467</v>
      </c>
      <c r="D17" s="188">
        <v>23</v>
      </c>
      <c r="E17" s="187">
        <v>25920000</v>
      </c>
      <c r="F17" s="192">
        <v>0.56499999999999995</v>
      </c>
      <c r="G17" s="193">
        <v>13230227518</v>
      </c>
      <c r="H17" s="193">
        <f>Table4[[#This Row],[Assessed Value FY17]]/Table4[[#This Row],[M-1 ADM FY2017]]</f>
        <v>982418.32019009429</v>
      </c>
      <c r="I17" s="193">
        <f>Table4[[#This Row],[Assessed Value FY17]]/Table4[[#This Row],[Total Schools]]</f>
        <v>575227283.39130437</v>
      </c>
      <c r="J17" s="191" t="s">
        <v>380</v>
      </c>
      <c r="K17" s="191" t="s">
        <v>385</v>
      </c>
    </row>
    <row r="18" spans="1:11" s="6" customFormat="1" x14ac:dyDescent="0.25">
      <c r="A18" s="196" t="s">
        <v>42</v>
      </c>
      <c r="B18" s="186" t="s">
        <v>374</v>
      </c>
      <c r="C18" s="187">
        <v>28730</v>
      </c>
      <c r="D18" s="188">
        <v>51</v>
      </c>
      <c r="E18" s="187">
        <v>82641869</v>
      </c>
      <c r="F18" s="192">
        <v>0.48499999999999999</v>
      </c>
      <c r="G18" s="193">
        <v>29951501089</v>
      </c>
      <c r="H18" s="193">
        <f>Table4[[#This Row],[Assessed Value FY17]]/Table4[[#This Row],[M-1 ADM FY2017]]</f>
        <v>1042516.5711451444</v>
      </c>
      <c r="I18" s="193">
        <f>Table4[[#This Row],[Assessed Value FY17]]/Table4[[#This Row],[Total Schools]]</f>
        <v>587284335.07843137</v>
      </c>
      <c r="J18" s="191" t="s">
        <v>372</v>
      </c>
      <c r="K18" s="191" t="s">
        <v>383</v>
      </c>
    </row>
    <row r="19" spans="1:11" s="6" customFormat="1" x14ac:dyDescent="0.25">
      <c r="A19" s="186" t="s">
        <v>358</v>
      </c>
      <c r="B19" s="186" t="s">
        <v>360</v>
      </c>
      <c r="C19" s="187">
        <v>157763</v>
      </c>
      <c r="D19" s="188">
        <v>171</v>
      </c>
      <c r="E19" s="187">
        <v>409911000</v>
      </c>
      <c r="F19" s="192">
        <v>0.60050000000000003</v>
      </c>
      <c r="G19" s="193">
        <v>140300000000</v>
      </c>
      <c r="H19" s="193">
        <f>Table4[[#This Row],[Assessed Value FY17]]/Table4[[#This Row],[M-1 ADM FY2017]]</f>
        <v>889308.64651407488</v>
      </c>
      <c r="I19" s="193">
        <f>Table4[[#This Row],[Assessed Value FY17]]/Table4[[#This Row],[Total Schools]]</f>
        <v>820467836.25730991</v>
      </c>
      <c r="J19" s="191" t="s">
        <v>384</v>
      </c>
      <c r="K19" s="191" t="s">
        <v>379</v>
      </c>
    </row>
    <row r="20" spans="1:11" s="6" customFormat="1" x14ac:dyDescent="0.25">
      <c r="A20" s="194" t="s">
        <v>364</v>
      </c>
      <c r="B20" s="186" t="s">
        <v>360</v>
      </c>
      <c r="C20" s="187">
        <v>145830</v>
      </c>
      <c r="D20" s="188">
        <v>171</v>
      </c>
      <c r="E20" s="187">
        <v>418453792</v>
      </c>
      <c r="F20" s="192">
        <v>0.81569999999999998</v>
      </c>
      <c r="G20" s="193">
        <v>122100000000</v>
      </c>
      <c r="H20" s="193">
        <f>Table4[[#This Row],[Assessed Value FY17]]/Table4[[#This Row],[M-1 ADM FY2017]]</f>
        <v>837276.28060069948</v>
      </c>
      <c r="I20" s="193">
        <f>Table4[[#This Row],[Assessed Value FY17]]/Table4[[#This Row],[Total Schools]]</f>
        <v>714035087.71929824</v>
      </c>
      <c r="J20" s="191" t="s">
        <v>380</v>
      </c>
      <c r="K20" s="191" t="s">
        <v>385</v>
      </c>
    </row>
  </sheetData>
  <sheetProtection algorithmName="SHA-512" hashValue="hQZsgYoo6Lm3eRtV1wvATcn4kgdgq+iXngLlbMDr6wUseByph/Hl38hn2drkEL5wURl4W2EQD6zoUCx9UygMrA==" saltValue="eEwDlqEY6QZZ4QyqSkE5gg==" spinCount="100000" sheet="1" objects="1" scenarios="1" selectLockedCells="1" sort="0" autoFilter="0" selectUnlockedCells="1"/>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I1"/>
  <sheetViews>
    <sheetView workbookViewId="0">
      <selection activeCell="A27" sqref="A27"/>
    </sheetView>
  </sheetViews>
  <sheetFormatPr defaultRowHeight="15" x14ac:dyDescent="0.25"/>
  <sheetData>
    <row r="1" spans="9:9" x14ac:dyDescent="0.25">
      <c r="I1" s="133"/>
    </row>
  </sheetData>
  <sheetProtection algorithmName="SHA-512" hashValue="XH79zJYuExTxLcFcRvOiTFjh3S6q1c0heN2udhItxeyNTKPfXn/eq7BIGTy4wNnu32uKL/5/0opbR3OSZrUcWA==" saltValue="fTSwdZ+a0qW4Q6snB/322Q==" spinCount="100000" sheet="1" objects="1" scenarios="1"/>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7"/>
  <sheetViews>
    <sheetView zoomScale="85" zoomScaleNormal="85" workbookViewId="0">
      <pane xSplit="1" topLeftCell="B1" activePane="topRight" state="frozen"/>
      <selection pane="topRight" activeCell="N27" sqref="N27"/>
    </sheetView>
  </sheetViews>
  <sheetFormatPr defaultRowHeight="15" outlineLevelRow="1" x14ac:dyDescent="0.25"/>
  <cols>
    <col min="1" max="1" width="14.42578125" customWidth="1"/>
    <col min="2" max="2" width="19.7109375" customWidth="1"/>
    <col min="3" max="3" width="20.7109375" customWidth="1"/>
    <col min="4" max="4" width="19.5703125" customWidth="1"/>
    <col min="5" max="8" width="20.42578125" customWidth="1"/>
    <col min="9" max="9" width="19.7109375" customWidth="1"/>
    <col min="10" max="11" width="19.5703125" customWidth="1"/>
    <col min="12" max="12" width="21.42578125" customWidth="1"/>
    <col min="13" max="14" width="19.5703125" customWidth="1"/>
    <col min="15" max="15" width="17.7109375" customWidth="1"/>
    <col min="16" max="16" width="14.85546875" customWidth="1"/>
    <col min="17" max="17" width="16.7109375" customWidth="1"/>
    <col min="18" max="18" width="13.28515625" customWidth="1"/>
  </cols>
  <sheetData>
    <row r="1" spans="1:19" ht="15.6" customHeight="1" x14ac:dyDescent="0.25">
      <c r="A1" s="243" t="s">
        <v>236</v>
      </c>
      <c r="B1" s="250" t="s">
        <v>212</v>
      </c>
      <c r="C1" s="249" t="s">
        <v>213</v>
      </c>
      <c r="D1" s="250" t="s">
        <v>214</v>
      </c>
      <c r="E1" s="253" t="s">
        <v>280</v>
      </c>
      <c r="F1" s="253" t="s">
        <v>281</v>
      </c>
      <c r="G1" s="245" t="s">
        <v>83</v>
      </c>
      <c r="H1" s="248" t="s">
        <v>172</v>
      </c>
      <c r="I1" s="248" t="s">
        <v>168</v>
      </c>
      <c r="J1" s="245" t="s">
        <v>317</v>
      </c>
      <c r="K1" s="256" t="s">
        <v>215</v>
      </c>
      <c r="L1" s="248" t="s">
        <v>327</v>
      </c>
      <c r="M1" s="245" t="s">
        <v>329</v>
      </c>
      <c r="N1" s="245" t="s">
        <v>300</v>
      </c>
      <c r="O1" s="245" t="s">
        <v>328</v>
      </c>
      <c r="P1" s="245" t="s">
        <v>333</v>
      </c>
      <c r="Q1" s="259" t="s">
        <v>344</v>
      </c>
    </row>
    <row r="2" spans="1:19" ht="15.6" customHeight="1" x14ac:dyDescent="0.25">
      <c r="A2" s="243"/>
      <c r="B2" s="251"/>
      <c r="C2" s="249"/>
      <c r="D2" s="251"/>
      <c r="E2" s="254"/>
      <c r="F2" s="254"/>
      <c r="G2" s="246"/>
      <c r="H2" s="248"/>
      <c r="I2" s="248"/>
      <c r="J2" s="246"/>
      <c r="K2" s="257"/>
      <c r="L2" s="248"/>
      <c r="M2" s="246"/>
      <c r="N2" s="246"/>
      <c r="O2" s="246"/>
      <c r="P2" s="246"/>
      <c r="Q2" s="259"/>
    </row>
    <row r="3" spans="1:19" ht="15.6" customHeight="1" x14ac:dyDescent="0.25">
      <c r="A3" s="243"/>
      <c r="B3" s="251"/>
      <c r="C3" s="249"/>
      <c r="D3" s="251"/>
      <c r="E3" s="254"/>
      <c r="F3" s="254"/>
      <c r="G3" s="246"/>
      <c r="H3" s="248"/>
      <c r="I3" s="248"/>
      <c r="J3" s="246"/>
      <c r="K3" s="257"/>
      <c r="L3" s="248"/>
      <c r="M3" s="246"/>
      <c r="N3" s="246"/>
      <c r="O3" s="246"/>
      <c r="P3" s="246"/>
      <c r="Q3" s="259"/>
    </row>
    <row r="4" spans="1:19" ht="15.6" customHeight="1" x14ac:dyDescent="0.25">
      <c r="A4" s="243"/>
      <c r="B4" s="251"/>
      <c r="C4" s="249"/>
      <c r="D4" s="251"/>
      <c r="E4" s="254"/>
      <c r="F4" s="254"/>
      <c r="G4" s="246"/>
      <c r="H4" s="248"/>
      <c r="I4" s="248"/>
      <c r="J4" s="246"/>
      <c r="K4" s="257"/>
      <c r="L4" s="248"/>
      <c r="M4" s="246"/>
      <c r="N4" s="246"/>
      <c r="O4" s="246"/>
      <c r="P4" s="246"/>
      <c r="Q4" s="259"/>
    </row>
    <row r="5" spans="1:19" ht="15.6" customHeight="1" x14ac:dyDescent="0.25">
      <c r="A5" s="244"/>
      <c r="B5" s="252"/>
      <c r="C5" s="249"/>
      <c r="D5" s="252"/>
      <c r="E5" s="255"/>
      <c r="F5" s="255"/>
      <c r="G5" s="247"/>
      <c r="H5" s="248"/>
      <c r="I5" s="248"/>
      <c r="J5" s="247"/>
      <c r="K5" s="258"/>
      <c r="L5" s="248"/>
      <c r="M5" s="247"/>
      <c r="N5" s="247"/>
      <c r="O5" s="247"/>
      <c r="P5" s="247"/>
      <c r="Q5" s="259"/>
    </row>
    <row r="6" spans="1:19" s="64" customFormat="1" ht="15.75" hidden="1" outlineLevel="1" x14ac:dyDescent="0.25">
      <c r="A6" s="65" t="s">
        <v>4</v>
      </c>
      <c r="B6" s="66"/>
      <c r="C6" s="67"/>
      <c r="D6" s="66"/>
      <c r="E6" s="66">
        <v>1368781</v>
      </c>
      <c r="F6" s="66">
        <v>574025</v>
      </c>
      <c r="G6" s="66"/>
      <c r="H6" s="67">
        <v>1355910</v>
      </c>
      <c r="I6" s="67">
        <v>1355910</v>
      </c>
      <c r="J6" s="66">
        <v>0</v>
      </c>
      <c r="K6" s="97">
        <f t="shared" ref="K6:K9" si="0">I6+J6</f>
        <v>1355910</v>
      </c>
      <c r="L6" s="67">
        <v>0</v>
      </c>
      <c r="M6" s="66"/>
      <c r="N6" s="69"/>
      <c r="O6" s="69">
        <f>H6-K6-L6-M6-P6</f>
        <v>0</v>
      </c>
      <c r="P6" s="66">
        <v>0</v>
      </c>
      <c r="Q6" s="118">
        <f>O6+P6</f>
        <v>0</v>
      </c>
      <c r="S6" s="13"/>
    </row>
    <row r="7" spans="1:19" s="64" customFormat="1" ht="15.75" hidden="1" outlineLevel="1" x14ac:dyDescent="0.25">
      <c r="A7" s="65" t="s">
        <v>5</v>
      </c>
      <c r="B7" s="66"/>
      <c r="C7" s="67"/>
      <c r="D7" s="66"/>
      <c r="E7" s="66">
        <v>653158</v>
      </c>
      <c r="F7" s="66">
        <v>596725</v>
      </c>
      <c r="G7" s="66"/>
      <c r="H7" s="68">
        <v>1355910</v>
      </c>
      <c r="I7" s="68">
        <v>1255910</v>
      </c>
      <c r="J7" s="66">
        <v>0</v>
      </c>
      <c r="K7" s="97">
        <f t="shared" si="0"/>
        <v>1255910</v>
      </c>
      <c r="L7" s="67">
        <v>0</v>
      </c>
      <c r="M7" s="66"/>
      <c r="N7" s="69"/>
      <c r="O7" s="69">
        <f>H7-K7-L7-M7-P7</f>
        <v>100000</v>
      </c>
      <c r="P7" s="66">
        <v>0</v>
      </c>
      <c r="Q7" s="118">
        <f>N7+P7</f>
        <v>0</v>
      </c>
      <c r="S7" s="13"/>
    </row>
    <row r="8" spans="1:19" s="64" customFormat="1" ht="15.75" collapsed="1" x14ac:dyDescent="0.25">
      <c r="A8" s="65" t="s">
        <v>6</v>
      </c>
      <c r="B8" s="101">
        <v>1325022</v>
      </c>
      <c r="C8" s="102">
        <v>1498990</v>
      </c>
      <c r="D8" s="101">
        <v>173968</v>
      </c>
      <c r="E8" s="66">
        <v>476615</v>
      </c>
      <c r="F8" s="66">
        <v>587375</v>
      </c>
      <c r="G8" s="66"/>
      <c r="H8" s="103">
        <v>1435990</v>
      </c>
      <c r="I8" s="74">
        <v>1325000</v>
      </c>
      <c r="J8" s="99">
        <v>0</v>
      </c>
      <c r="K8" s="98">
        <f t="shared" si="0"/>
        <v>1325000</v>
      </c>
      <c r="L8" s="100">
        <v>0</v>
      </c>
      <c r="M8" s="99">
        <v>0</v>
      </c>
      <c r="N8" s="73">
        <f>H8-K8-L8-M8</f>
        <v>110990</v>
      </c>
      <c r="O8" s="76">
        <f>H8-I8</f>
        <v>110990</v>
      </c>
      <c r="P8" s="99">
        <v>0</v>
      </c>
      <c r="Q8" s="118">
        <f>N8+P8</f>
        <v>110990</v>
      </c>
      <c r="S8" s="13"/>
    </row>
    <row r="9" spans="1:19" s="64" customFormat="1" ht="15.75" x14ac:dyDescent="0.25">
      <c r="A9" s="65" t="s">
        <v>7</v>
      </c>
      <c r="B9" s="101">
        <v>1857197</v>
      </c>
      <c r="C9" s="102">
        <v>1675000</v>
      </c>
      <c r="D9" s="101">
        <v>-8229</v>
      </c>
      <c r="E9" s="66">
        <v>1155040</v>
      </c>
      <c r="F9" s="66">
        <v>638155</v>
      </c>
      <c r="G9" s="66"/>
      <c r="H9" s="74">
        <v>1675000</v>
      </c>
      <c r="I9" s="74">
        <v>1878326</v>
      </c>
      <c r="J9" s="99">
        <v>0</v>
      </c>
      <c r="K9" s="98">
        <f t="shared" si="0"/>
        <v>1878326</v>
      </c>
      <c r="L9" s="100">
        <v>0</v>
      </c>
      <c r="M9" s="99">
        <v>0</v>
      </c>
      <c r="N9" s="117">
        <f>H9-K9-L9-M9</f>
        <v>-203326</v>
      </c>
      <c r="O9" s="76">
        <f>H9-K9-L9-M9+O8</f>
        <v>-92336</v>
      </c>
      <c r="P9" s="99">
        <v>0</v>
      </c>
      <c r="Q9" s="118">
        <f>N9-P9+Q8</f>
        <v>-92336</v>
      </c>
      <c r="S9" s="13"/>
    </row>
    <row r="10" spans="1:19" ht="15.75" x14ac:dyDescent="0.25">
      <c r="A10" s="70" t="s">
        <v>8</v>
      </c>
      <c r="B10" s="71">
        <v>2218385</v>
      </c>
      <c r="C10" s="72">
        <v>2241135</v>
      </c>
      <c r="D10" s="71">
        <v>14521</v>
      </c>
      <c r="E10" s="73">
        <v>998940</v>
      </c>
      <c r="F10" s="73">
        <v>862295</v>
      </c>
      <c r="G10" s="73">
        <v>1283840</v>
      </c>
      <c r="H10" s="73">
        <v>2243135</v>
      </c>
      <c r="I10" s="74">
        <v>1868385</v>
      </c>
      <c r="J10" s="74">
        <v>165119</v>
      </c>
      <c r="K10" s="98">
        <f>I10+J10</f>
        <v>2033504</v>
      </c>
      <c r="L10" s="74">
        <v>0</v>
      </c>
      <c r="M10" s="74">
        <v>0</v>
      </c>
      <c r="N10" s="73">
        <f t="shared" ref="N10:N20" si="1">H10-K10-L10-M10</f>
        <v>209631</v>
      </c>
      <c r="O10" s="73">
        <f>H10-K10-L10-M10+O9</f>
        <v>117295</v>
      </c>
      <c r="P10" s="74">
        <v>0</v>
      </c>
      <c r="Q10" s="118">
        <f>N10-P10+Q9</f>
        <v>117295</v>
      </c>
    </row>
    <row r="11" spans="1:19" ht="15.75" x14ac:dyDescent="0.25">
      <c r="A11" s="70" t="s">
        <v>9</v>
      </c>
      <c r="B11" s="71">
        <v>1868385</v>
      </c>
      <c r="C11" s="75">
        <v>3123055</v>
      </c>
      <c r="D11" s="71">
        <f>(C11-B11)+D10</f>
        <v>1269191</v>
      </c>
      <c r="E11" s="76">
        <v>1372183</v>
      </c>
      <c r="F11" s="76">
        <v>964035</v>
      </c>
      <c r="G11" s="76">
        <v>1668222</v>
      </c>
      <c r="H11" s="104">
        <v>2591255</v>
      </c>
      <c r="I11" s="74">
        <v>1868385</v>
      </c>
      <c r="J11" s="74">
        <v>0</v>
      </c>
      <c r="K11" s="98">
        <f>I11+J11</f>
        <v>1868385</v>
      </c>
      <c r="L11" s="74">
        <v>232239</v>
      </c>
      <c r="M11" s="74">
        <v>0</v>
      </c>
      <c r="N11" s="73">
        <f t="shared" si="1"/>
        <v>490631</v>
      </c>
      <c r="O11" s="73">
        <f>H11-K11-L11-M11+O10</f>
        <v>607926</v>
      </c>
      <c r="P11" s="74">
        <v>411340</v>
      </c>
      <c r="Q11" s="118">
        <f t="shared" ref="Q11:Q20" si="2">N11-P11+Q10</f>
        <v>196586</v>
      </c>
    </row>
    <row r="12" spans="1:19" ht="15.75" x14ac:dyDescent="0.25">
      <c r="A12" s="70" t="s">
        <v>10</v>
      </c>
      <c r="B12" s="71">
        <v>1868385</v>
      </c>
      <c r="C12" s="72">
        <v>2317844</v>
      </c>
      <c r="D12" s="71">
        <f>(C12-B12)+D11</f>
        <v>1718650</v>
      </c>
      <c r="E12" s="73">
        <v>1517555</v>
      </c>
      <c r="F12" s="73">
        <v>976409</v>
      </c>
      <c r="G12" s="73">
        <v>1733435</v>
      </c>
      <c r="H12" s="73">
        <v>2317844</v>
      </c>
      <c r="I12" s="74">
        <v>1868385</v>
      </c>
      <c r="J12" s="74">
        <v>0</v>
      </c>
      <c r="K12" s="98">
        <f t="shared" ref="K12:K20" si="3">I12+J12</f>
        <v>1868385</v>
      </c>
      <c r="L12" s="74">
        <v>319158</v>
      </c>
      <c r="M12" s="74">
        <v>15000</v>
      </c>
      <c r="N12" s="73">
        <f t="shared" si="1"/>
        <v>115301</v>
      </c>
      <c r="O12" s="73">
        <f>H12-K12-L12-M12+O11</f>
        <v>723227</v>
      </c>
      <c r="P12" s="74">
        <v>0</v>
      </c>
      <c r="Q12" s="118">
        <f t="shared" si="2"/>
        <v>311887</v>
      </c>
    </row>
    <row r="13" spans="1:19" ht="15.75" x14ac:dyDescent="0.25">
      <c r="A13" s="70" t="s">
        <v>11</v>
      </c>
      <c r="B13" s="71">
        <v>1046963</v>
      </c>
      <c r="C13" s="72">
        <v>2011533</v>
      </c>
      <c r="D13" s="71">
        <f t="shared" ref="D13:D20" si="4">(C13-B13)+D12</f>
        <v>2683220</v>
      </c>
      <c r="E13" s="73">
        <v>1275770</v>
      </c>
      <c r="F13" s="73">
        <v>652363</v>
      </c>
      <c r="G13" s="73">
        <v>1351170</v>
      </c>
      <c r="H13" s="73">
        <v>2011533</v>
      </c>
      <c r="I13" s="74">
        <v>1046963</v>
      </c>
      <c r="J13" s="74">
        <v>0</v>
      </c>
      <c r="K13" s="98">
        <f t="shared" si="3"/>
        <v>1046963</v>
      </c>
      <c r="L13" s="74">
        <v>137842</v>
      </c>
      <c r="M13" s="74">
        <v>12000</v>
      </c>
      <c r="N13" s="73">
        <f t="shared" si="1"/>
        <v>814728</v>
      </c>
      <c r="O13" s="73">
        <f t="shared" ref="O13:O18" si="5">H13-K13-L13-M13+O12</f>
        <v>1537955</v>
      </c>
      <c r="P13" s="74">
        <v>142342</v>
      </c>
      <c r="Q13" s="118">
        <f t="shared" si="2"/>
        <v>984273</v>
      </c>
    </row>
    <row r="14" spans="1:19" ht="15.75" x14ac:dyDescent="0.25">
      <c r="A14" s="70" t="s">
        <v>12</v>
      </c>
      <c r="B14" s="71">
        <v>1046963</v>
      </c>
      <c r="C14" s="72">
        <v>2291089</v>
      </c>
      <c r="D14" s="71">
        <f t="shared" si="4"/>
        <v>3927346</v>
      </c>
      <c r="E14" s="73">
        <v>1505744</v>
      </c>
      <c r="F14" s="73">
        <v>691745</v>
      </c>
      <c r="G14" s="73"/>
      <c r="H14" s="73">
        <v>2291089</v>
      </c>
      <c r="I14" s="74">
        <v>1046963</v>
      </c>
      <c r="J14" s="74">
        <v>0</v>
      </c>
      <c r="K14" s="98">
        <f t="shared" si="3"/>
        <v>1046963</v>
      </c>
      <c r="L14" s="74">
        <v>228321</v>
      </c>
      <c r="M14" s="74">
        <v>11190</v>
      </c>
      <c r="N14" s="73">
        <f t="shared" si="1"/>
        <v>1004615</v>
      </c>
      <c r="O14" s="73">
        <f t="shared" si="5"/>
        <v>2542570</v>
      </c>
      <c r="P14" s="74">
        <v>0</v>
      </c>
      <c r="Q14" s="118">
        <f t="shared" si="2"/>
        <v>1988888</v>
      </c>
    </row>
    <row r="15" spans="1:19" ht="15.75" x14ac:dyDescent="0.25">
      <c r="A15" s="77" t="s">
        <v>13</v>
      </c>
      <c r="B15" s="71">
        <v>746963</v>
      </c>
      <c r="C15" s="72">
        <v>846963</v>
      </c>
      <c r="D15" s="71">
        <f t="shared" si="4"/>
        <v>4027346</v>
      </c>
      <c r="E15" s="73">
        <v>546506</v>
      </c>
      <c r="F15" s="73">
        <v>0</v>
      </c>
      <c r="G15" s="73">
        <v>546506</v>
      </c>
      <c r="H15" s="73">
        <v>846963</v>
      </c>
      <c r="I15" s="74">
        <v>746963</v>
      </c>
      <c r="J15" s="74">
        <v>0</v>
      </c>
      <c r="K15" s="98">
        <f t="shared" si="3"/>
        <v>746963</v>
      </c>
      <c r="L15" s="74">
        <v>128000</v>
      </c>
      <c r="M15" s="74">
        <v>17569</v>
      </c>
      <c r="N15" s="117">
        <f t="shared" si="1"/>
        <v>-45569</v>
      </c>
      <c r="O15" s="73">
        <f t="shared" si="5"/>
        <v>2497001</v>
      </c>
      <c r="P15" s="74">
        <v>126523</v>
      </c>
      <c r="Q15" s="118">
        <f t="shared" si="2"/>
        <v>1816796</v>
      </c>
    </row>
    <row r="16" spans="1:19" ht="15.75" x14ac:dyDescent="0.25">
      <c r="A16" s="77" t="s">
        <v>14</v>
      </c>
      <c r="B16" s="71">
        <v>1000000</v>
      </c>
      <c r="C16" s="72">
        <v>1868385</v>
      </c>
      <c r="D16" s="71">
        <f t="shared" si="4"/>
        <v>4895731</v>
      </c>
      <c r="E16" s="73">
        <v>2092106</v>
      </c>
      <c r="F16" s="73">
        <v>663050</v>
      </c>
      <c r="G16" s="73">
        <v>1868385</v>
      </c>
      <c r="H16" s="73">
        <v>1868385</v>
      </c>
      <c r="I16" s="74">
        <v>1000000</v>
      </c>
      <c r="J16" s="74">
        <v>0</v>
      </c>
      <c r="K16" s="98">
        <f t="shared" si="3"/>
        <v>1000000</v>
      </c>
      <c r="L16" s="74">
        <v>430000</v>
      </c>
      <c r="M16" s="74">
        <v>31658</v>
      </c>
      <c r="N16" s="73">
        <f t="shared" si="1"/>
        <v>406727</v>
      </c>
      <c r="O16" s="73">
        <f t="shared" si="5"/>
        <v>2903728</v>
      </c>
      <c r="P16" s="74">
        <v>0</v>
      </c>
      <c r="Q16" s="118">
        <f t="shared" si="2"/>
        <v>2223523</v>
      </c>
    </row>
    <row r="17" spans="1:17" ht="15.75" x14ac:dyDescent="0.25">
      <c r="A17" s="77" t="s">
        <v>15</v>
      </c>
      <c r="B17" s="71">
        <v>1888563</v>
      </c>
      <c r="C17" s="72">
        <v>1800000</v>
      </c>
      <c r="D17" s="71">
        <f t="shared" si="4"/>
        <v>4807168</v>
      </c>
      <c r="E17" s="73"/>
      <c r="F17" s="73"/>
      <c r="G17" s="73">
        <v>2416372</v>
      </c>
      <c r="H17" s="73">
        <v>1800000</v>
      </c>
      <c r="I17" s="74">
        <v>1600000</v>
      </c>
      <c r="J17" s="74">
        <v>122860</v>
      </c>
      <c r="K17" s="98">
        <f t="shared" si="3"/>
        <v>1722860</v>
      </c>
      <c r="L17" s="74">
        <v>600000</v>
      </c>
      <c r="M17" s="74">
        <v>25427</v>
      </c>
      <c r="N17" s="117">
        <f t="shared" si="1"/>
        <v>-548287</v>
      </c>
      <c r="O17" s="73">
        <f t="shared" si="5"/>
        <v>2355441</v>
      </c>
      <c r="P17" s="74">
        <v>0</v>
      </c>
      <c r="Q17" s="118">
        <f t="shared" si="2"/>
        <v>1675236</v>
      </c>
    </row>
    <row r="18" spans="1:17" ht="16.5" thickBot="1" x14ac:dyDescent="0.3">
      <c r="A18" s="77" t="s">
        <v>16</v>
      </c>
      <c r="B18" s="71">
        <v>1600000</v>
      </c>
      <c r="C18" s="72">
        <v>1600000</v>
      </c>
      <c r="D18" s="78">
        <f t="shared" si="4"/>
        <v>4807168</v>
      </c>
      <c r="E18" s="76"/>
      <c r="F18" s="76"/>
      <c r="G18" s="76">
        <v>2567145</v>
      </c>
      <c r="H18" s="76">
        <v>1600000</v>
      </c>
      <c r="I18" s="74">
        <v>1600000</v>
      </c>
      <c r="J18" s="74">
        <v>0</v>
      </c>
      <c r="K18" s="98">
        <f t="shared" si="3"/>
        <v>1600000</v>
      </c>
      <c r="L18" s="74">
        <v>455500</v>
      </c>
      <c r="M18" s="74">
        <v>47386</v>
      </c>
      <c r="N18" s="117">
        <f t="shared" si="1"/>
        <v>-502886</v>
      </c>
      <c r="O18" s="73">
        <f t="shared" si="5"/>
        <v>1852555</v>
      </c>
      <c r="P18" s="74">
        <v>608219</v>
      </c>
      <c r="Q18" s="118">
        <f t="shared" si="2"/>
        <v>564131</v>
      </c>
    </row>
    <row r="19" spans="1:17" ht="16.5" thickBot="1" x14ac:dyDescent="0.3">
      <c r="A19" s="77" t="s">
        <v>17</v>
      </c>
      <c r="B19" s="71">
        <v>1600000</v>
      </c>
      <c r="C19" s="79">
        <v>2110824</v>
      </c>
      <c r="D19" s="80">
        <f t="shared" si="4"/>
        <v>5317992</v>
      </c>
      <c r="E19" s="81"/>
      <c r="F19" s="81"/>
      <c r="G19" s="81">
        <v>2405424</v>
      </c>
      <c r="H19" s="81">
        <v>2110824</v>
      </c>
      <c r="I19" s="74">
        <v>1600000</v>
      </c>
      <c r="J19" s="74">
        <v>0</v>
      </c>
      <c r="K19" s="98">
        <f t="shared" si="3"/>
        <v>1600000</v>
      </c>
      <c r="L19" s="74">
        <v>0</v>
      </c>
      <c r="M19" s="74">
        <v>37680</v>
      </c>
      <c r="N19" s="73">
        <f t="shared" si="1"/>
        <v>473144</v>
      </c>
      <c r="O19" s="73">
        <f>H19-K19-L19-M19+O18</f>
        <v>2325699</v>
      </c>
      <c r="P19" s="74">
        <v>76245</v>
      </c>
      <c r="Q19" s="118">
        <f t="shared" si="2"/>
        <v>961030</v>
      </c>
    </row>
    <row r="20" spans="1:17" ht="16.5" outlineLevel="1" thickBot="1" x14ac:dyDescent="0.3">
      <c r="A20" s="77" t="s">
        <v>18</v>
      </c>
      <c r="B20" s="74">
        <v>1800000</v>
      </c>
      <c r="C20" s="82">
        <v>2753130</v>
      </c>
      <c r="D20" s="83">
        <f t="shared" si="4"/>
        <v>6271122</v>
      </c>
      <c r="E20" s="84"/>
      <c r="F20" s="84"/>
      <c r="G20" s="84">
        <v>3096517</v>
      </c>
      <c r="H20" s="84">
        <v>2753130</v>
      </c>
      <c r="I20" s="74">
        <v>1800000</v>
      </c>
      <c r="J20" s="74">
        <v>0</v>
      </c>
      <c r="K20" s="112">
        <f t="shared" si="3"/>
        <v>1800000</v>
      </c>
      <c r="L20" s="74">
        <v>174291</v>
      </c>
      <c r="M20" s="74"/>
      <c r="N20" s="73">
        <f t="shared" si="1"/>
        <v>778839</v>
      </c>
      <c r="O20" s="96">
        <f>H20-K20-L20-M20-P20+O19</f>
        <v>3104538</v>
      </c>
      <c r="P20" s="74">
        <v>0</v>
      </c>
      <c r="Q20" s="118">
        <f t="shared" si="2"/>
        <v>1739869</v>
      </c>
    </row>
    <row r="22" spans="1:17" x14ac:dyDescent="0.25">
      <c r="B22" s="9">
        <f>SUM(B8:B20)</f>
        <v>19866826</v>
      </c>
      <c r="C22" s="9">
        <f>SUM(C8:C20)</f>
        <v>26137948</v>
      </c>
      <c r="D22" s="9"/>
      <c r="E22" s="9"/>
      <c r="F22" s="9"/>
      <c r="G22" s="9"/>
      <c r="H22" s="9">
        <f>SUM(H8:H20)</f>
        <v>25545148</v>
      </c>
      <c r="I22" s="9">
        <f>SUM(I8:I20)</f>
        <v>19249370</v>
      </c>
      <c r="J22" s="9"/>
      <c r="K22" s="9">
        <f>SUM(K8:K20)</f>
        <v>19537349</v>
      </c>
      <c r="L22" s="9">
        <f>SUM(L8:L20)</f>
        <v>2705351</v>
      </c>
      <c r="M22" s="9">
        <f t="shared" ref="M22" si="6">SUM(M8:M20)</f>
        <v>197910</v>
      </c>
      <c r="N22" s="9"/>
      <c r="O22" s="9"/>
      <c r="P22" s="9">
        <f>SUM(P8:P20)</f>
        <v>1364669</v>
      </c>
    </row>
    <row r="23" spans="1:17" x14ac:dyDescent="0.25">
      <c r="M23" s="7"/>
    </row>
    <row r="24" spans="1:17" x14ac:dyDescent="0.25">
      <c r="C24" s="125" t="s">
        <v>238</v>
      </c>
      <c r="I24" s="9">
        <f>AVERAGE(I8:I20)</f>
        <v>1480720.7692307692</v>
      </c>
      <c r="L24" s="44" t="s">
        <v>245</v>
      </c>
      <c r="M24" s="44"/>
      <c r="O24" s="9">
        <v>5317992</v>
      </c>
      <c r="Q24" s="9">
        <v>5317992</v>
      </c>
    </row>
    <row r="25" spans="1:17" x14ac:dyDescent="0.25">
      <c r="C25" s="9">
        <f>AVERAGE(C10:C20)</f>
        <v>2087632.5454545454</v>
      </c>
      <c r="L25" s="50" t="s">
        <v>246</v>
      </c>
      <c r="M25" s="50"/>
      <c r="O25" s="9">
        <f>O19</f>
        <v>2325699</v>
      </c>
      <c r="Q25" s="9">
        <f>Q19</f>
        <v>961030</v>
      </c>
    </row>
    <row r="26" spans="1:17" x14ac:dyDescent="0.25">
      <c r="O26" s="17">
        <f>(O24-O25)/O24</f>
        <v>0.5626734677299251</v>
      </c>
      <c r="P26" s="17"/>
      <c r="Q26" s="17">
        <f>(Q24-Q25)/Q24</f>
        <v>0.81928705421143921</v>
      </c>
    </row>
    <row r="27" spans="1:17" x14ac:dyDescent="0.25">
      <c r="M27" s="7"/>
      <c r="N27" s="48" t="s">
        <v>237</v>
      </c>
      <c r="O27" s="49">
        <f>O24-O25</f>
        <v>2992293</v>
      </c>
      <c r="Q27" s="119">
        <f>Q24-Q25</f>
        <v>4356962</v>
      </c>
    </row>
  </sheetData>
  <sheetProtection algorithmName="SHA-512" hashValue="Y9emEukWuCxXEkibxf5FK6BQ+D33kFufpQKXWz3fmjzvAakt6mKRkQAho5/HaorGuqsPdw0KgmkMrHBjRAHKZQ==" saltValue="5zGChkKIlN3keFlaDdoQMg==" spinCount="100000" sheet="1" objects="1" scenarios="1"/>
  <mergeCells count="17">
    <mergeCell ref="Q1:Q5"/>
    <mergeCell ref="O1:O5"/>
    <mergeCell ref="P1:P5"/>
    <mergeCell ref="A1:A5"/>
    <mergeCell ref="N1:N5"/>
    <mergeCell ref="L1:L5"/>
    <mergeCell ref="C1:C5"/>
    <mergeCell ref="H1:H5"/>
    <mergeCell ref="I1:I5"/>
    <mergeCell ref="D1:D5"/>
    <mergeCell ref="J1:J5"/>
    <mergeCell ref="G1:G5"/>
    <mergeCell ref="E1:E5"/>
    <mergeCell ref="F1:F5"/>
    <mergeCell ref="M1:M5"/>
    <mergeCell ref="B1:B5"/>
    <mergeCell ref="K1:K5"/>
  </mergeCells>
  <pageMargins left="0.7" right="0.7" top="0.75" bottom="0.75" header="0.3" footer="0.3"/>
  <pageSetup orientation="portrait" horizontalDpi="300" verticalDpi="300" r:id="rId1"/>
  <legacyDrawing r:id="rId2"/>
  <extLst>
    <ext xmlns:x14="http://schemas.microsoft.com/office/spreadsheetml/2009/9/main" uri="{05C60535-1F16-4fd2-B633-F4F36F0B64E0}">
      <x14:sparklineGroups xmlns:xm="http://schemas.microsoft.com/office/excel/2006/main">
        <x14:sparklineGroup displayEmptyCellsAs="gap" xr2:uid="{00000000-0003-0000-0500-000006000000}">
          <x14:colorSeries rgb="FF376092"/>
          <x14:colorNegative rgb="FFD00000"/>
          <x14:colorAxis rgb="FF000000"/>
          <x14:colorMarkers rgb="FFD00000"/>
          <x14:colorFirst rgb="FFD00000"/>
          <x14:colorLast rgb="FFD00000"/>
          <x14:colorHigh rgb="FFD00000"/>
          <x14:colorLow rgb="FFD00000"/>
          <x14:sparklines>
            <x14:sparkline>
              <xm:f>'School System Cap Summary'!E10:E20</xm:f>
              <xm:sqref>E21</xm:sqref>
            </x14:sparkline>
            <x14:sparkline>
              <xm:f>'School System Cap Summary'!F10:F20</xm:f>
              <xm:sqref>F21</xm:sqref>
            </x14:sparkline>
            <x14:sparkline>
              <xm:f>'School System Cap Summary'!G10:G20</xm:f>
              <xm:sqref>G21</xm:sqref>
            </x14:sparkline>
            <x14:sparkline>
              <xm:f>'School System Cap Summary'!H10:H20</xm:f>
              <xm:sqref>H21</xm:sqref>
            </x14:sparkline>
            <x14:sparkline>
              <xm:f>'School System Cap Summary'!I10:I20</xm:f>
              <xm:sqref>I21</xm:sqref>
            </x14:sparkline>
          </x14:sparklines>
        </x14:sparklineGroup>
        <x14:sparklineGroup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'School System Cap Summary'!K8:K20</xm:f>
              <xm:sqref>K21</xm:sqref>
            </x14:sparkline>
          </x14:sparklines>
        </x14:sparklineGroup>
        <x14:sparklineGroup displayEmptyCellsAs="gap" xr2:uid="{00000000-0003-0000-0500-000004000000}">
          <x14:colorSeries rgb="FF376092"/>
          <x14:colorNegative rgb="FFD00000"/>
          <x14:colorAxis rgb="FF000000"/>
          <x14:colorMarkers rgb="FFD00000"/>
          <x14:colorFirst rgb="FFD00000"/>
          <x14:colorLast rgb="FFD00000"/>
          <x14:colorHigh rgb="FFD00000"/>
          <x14:colorLow rgb="FFD00000"/>
          <x14:sparklines>
            <x14:sparkline>
              <xm:f>'School System Cap Summary'!M8:M20</xm:f>
              <xm:sqref>M21</xm:sqref>
            </x14:sparkline>
          </x14:sparklines>
        </x14:sparklineGroup>
        <x14:sparklineGroup displayEmptyCellsAs="gap" xr2:uid="{00000000-0003-0000-0500-000003000000}">
          <x14:colorSeries rgb="FF376092"/>
          <x14:colorNegative rgb="FFD00000"/>
          <x14:colorAxis rgb="FF000000"/>
          <x14:colorMarkers rgb="FFD00000"/>
          <x14:colorFirst rgb="FFD00000"/>
          <x14:colorLast rgb="FFD00000"/>
          <x14:colorHigh rgb="FFD00000"/>
          <x14:colorLow rgb="FFD00000"/>
          <x14:sparklines>
            <x14:sparkline>
              <xm:f>'School System Cap Summary'!O10:O20</xm:f>
              <xm:sqref>O21</xm:sqref>
            </x14:sparkline>
          </x14:sparklines>
        </x14:sparklineGroup>
        <x14:sparklineGroup displayEmptyCellsAs="gap" xr2:uid="{00000000-0003-0000-0500-000002000000}">
          <x14:colorSeries rgb="FF376092"/>
          <x14:colorNegative rgb="FFD00000"/>
          <x14:colorAxis rgb="FF000000"/>
          <x14:colorMarkers rgb="FFD00000"/>
          <x14:colorFirst rgb="FFD00000"/>
          <x14:colorLast rgb="FFD00000"/>
          <x14:colorHigh rgb="FFD00000"/>
          <x14:colorLow rgb="FFD00000"/>
          <x14:sparklines>
            <x14:sparkline>
              <xm:f>'School System Cap Summary'!N8:N19</xm:f>
              <xm:sqref>N21</xm:sqref>
            </x14:sparkline>
          </x14:sparklines>
        </x14:sparklineGroup>
        <x14:sparklineGroup displayEmptyCellsAs="gap" xr2:uid="{00000000-0003-0000-0500-000001000000}">
          <x14:colorSeries rgb="FF376092"/>
          <x14:colorNegative rgb="FFD00000"/>
          <x14:colorAxis rgb="FF000000"/>
          <x14:colorMarkers rgb="FFD00000"/>
          <x14:colorFirst rgb="FFD00000"/>
          <x14:colorLast rgb="FFD00000"/>
          <x14:colorHigh rgb="FFD00000"/>
          <x14:colorLow rgb="FFD00000"/>
          <x14:sparklines>
            <x14:sparkline>
              <xm:f>'School System Cap Summary'!L8:L20</xm:f>
              <xm:sqref>L21</xm:sqref>
            </x14:sparkline>
          </x14:sparklines>
        </x14:sparklineGroup>
        <x14:sparklineGroup displayEmptyCellsAs="gap" xr2:uid="{00000000-0003-0000-0500-000000000000}">
          <x14:colorSeries rgb="FF376092"/>
          <x14:colorNegative rgb="FFD00000"/>
          <x14:colorAxis rgb="FF000000"/>
          <x14:colorMarkers rgb="FFD00000"/>
          <x14:colorFirst rgb="FFD00000"/>
          <x14:colorLast rgb="FFD00000"/>
          <x14:colorHigh rgb="FFD00000"/>
          <x14:colorLow rgb="FFD00000"/>
          <x14:sparklines>
            <x14:sparkline>
              <xm:f>'School System Cap Summary'!P8:P20</xm:f>
              <xm:sqref>P21</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02"/>
  <sheetViews>
    <sheetView topLeftCell="A17" workbookViewId="0">
      <pane xSplit="1" topLeftCell="B1" activePane="topRight" state="frozen"/>
      <selection pane="topRight" activeCell="A2" sqref="A2:D201"/>
    </sheetView>
  </sheetViews>
  <sheetFormatPr defaultRowHeight="15" x14ac:dyDescent="0.25"/>
  <cols>
    <col min="1" max="1" width="16.7109375" customWidth="1"/>
    <col min="2" max="2" width="16.42578125" customWidth="1"/>
    <col min="3" max="3" width="34" customWidth="1"/>
    <col min="4" max="4" width="16.42578125" style="9" customWidth="1"/>
    <col min="6" max="6" width="13.7109375" bestFit="1" customWidth="1"/>
  </cols>
  <sheetData>
    <row r="1" spans="1:15" x14ac:dyDescent="0.25">
      <c r="A1" s="260" t="s">
        <v>388</v>
      </c>
      <c r="B1" s="260"/>
      <c r="C1" s="260"/>
      <c r="D1" s="260"/>
    </row>
    <row r="2" spans="1:15" ht="14.45" customHeight="1" x14ac:dyDescent="0.25">
      <c r="A2" s="197" t="s">
        <v>3</v>
      </c>
      <c r="B2" s="198" t="s">
        <v>58</v>
      </c>
      <c r="C2" s="198" t="s">
        <v>64</v>
      </c>
      <c r="D2" s="199" t="s">
        <v>31</v>
      </c>
      <c r="E2" s="4"/>
      <c r="F2" s="4"/>
      <c r="G2" s="1"/>
      <c r="H2" s="1"/>
      <c r="I2" s="5"/>
      <c r="J2" s="5"/>
      <c r="K2" s="1"/>
      <c r="L2" s="1"/>
      <c r="M2" s="4"/>
      <c r="N2" s="4"/>
      <c r="O2" s="1"/>
    </row>
    <row r="3" spans="1:15" ht="14.45" customHeight="1" x14ac:dyDescent="0.25">
      <c r="A3" s="200" t="s">
        <v>21</v>
      </c>
      <c r="B3" s="201" t="s">
        <v>75</v>
      </c>
      <c r="C3" s="201" t="s">
        <v>98</v>
      </c>
      <c r="D3" s="202">
        <v>1171000</v>
      </c>
      <c r="E3" s="4"/>
      <c r="F3" s="4"/>
      <c r="G3" s="1"/>
      <c r="H3" s="1"/>
      <c r="I3" s="5"/>
      <c r="J3" s="5"/>
      <c r="K3" s="1"/>
      <c r="L3" s="1"/>
      <c r="M3" s="4"/>
      <c r="N3" s="4"/>
      <c r="O3" s="1"/>
    </row>
    <row r="4" spans="1:15" ht="14.45" customHeight="1" x14ac:dyDescent="0.25">
      <c r="A4" s="200" t="s">
        <v>22</v>
      </c>
      <c r="B4" s="201" t="s">
        <v>66</v>
      </c>
      <c r="C4" s="201" t="s">
        <v>120</v>
      </c>
      <c r="D4" s="202">
        <v>700000</v>
      </c>
      <c r="E4" s="4"/>
      <c r="F4" s="4"/>
      <c r="G4" s="1"/>
      <c r="H4" s="1"/>
      <c r="I4" s="5"/>
      <c r="J4" s="5"/>
      <c r="K4" s="1"/>
      <c r="L4" s="1"/>
      <c r="M4" s="4"/>
      <c r="N4" s="4"/>
      <c r="O4" s="1"/>
    </row>
    <row r="5" spans="1:15" ht="14.45" customHeight="1" x14ac:dyDescent="0.25">
      <c r="A5" s="208" t="s">
        <v>20</v>
      </c>
      <c r="B5" s="201" t="s">
        <v>66</v>
      </c>
      <c r="C5" s="201" t="s">
        <v>120</v>
      </c>
      <c r="D5" s="202">
        <v>675000</v>
      </c>
    </row>
    <row r="6" spans="1:15" ht="14.45" customHeight="1" x14ac:dyDescent="0.25">
      <c r="A6" s="200" t="s">
        <v>24</v>
      </c>
      <c r="B6" s="201" t="s">
        <v>66</v>
      </c>
      <c r="C6" s="201" t="s">
        <v>120</v>
      </c>
      <c r="D6" s="202">
        <v>517900</v>
      </c>
      <c r="E6" s="4"/>
      <c r="F6" s="4"/>
      <c r="G6" s="1"/>
      <c r="H6" s="1"/>
      <c r="I6" s="5"/>
      <c r="J6" s="5"/>
      <c r="K6" s="1"/>
      <c r="L6" s="1"/>
      <c r="M6" s="4"/>
      <c r="N6" s="4"/>
      <c r="O6" s="1"/>
    </row>
    <row r="7" spans="1:15" ht="14.45" customHeight="1" x14ac:dyDescent="0.25">
      <c r="A7" s="209" t="s">
        <v>293</v>
      </c>
      <c r="B7" s="212" t="s">
        <v>63</v>
      </c>
      <c r="C7" s="212" t="s">
        <v>79</v>
      </c>
      <c r="D7" s="213">
        <v>500000</v>
      </c>
      <c r="E7" s="4"/>
      <c r="F7" s="4"/>
      <c r="G7" s="1"/>
      <c r="H7" s="1"/>
      <c r="I7" s="5"/>
      <c r="J7" s="5"/>
      <c r="K7" s="1"/>
      <c r="L7" s="1"/>
      <c r="M7" s="4"/>
      <c r="N7" s="4"/>
      <c r="O7" s="1"/>
    </row>
    <row r="8" spans="1:15" ht="14.45" customHeight="1" x14ac:dyDescent="0.25">
      <c r="A8" s="209" t="s">
        <v>293</v>
      </c>
      <c r="B8" s="212" t="s">
        <v>80</v>
      </c>
      <c r="C8" s="212" t="s">
        <v>294</v>
      </c>
      <c r="D8" s="213">
        <v>420000</v>
      </c>
      <c r="E8" s="4"/>
      <c r="F8" s="4"/>
      <c r="G8" s="1"/>
      <c r="H8" s="1"/>
      <c r="I8" s="5"/>
      <c r="J8" s="5"/>
      <c r="K8" s="1"/>
      <c r="L8" s="1"/>
      <c r="M8" s="4"/>
      <c r="N8" s="4"/>
      <c r="O8" s="1"/>
    </row>
    <row r="9" spans="1:15" ht="14.45" customHeight="1" x14ac:dyDescent="0.25">
      <c r="A9" s="208" t="s">
        <v>20</v>
      </c>
      <c r="B9" s="201" t="s">
        <v>81</v>
      </c>
      <c r="C9" s="201" t="s">
        <v>62</v>
      </c>
      <c r="D9" s="202">
        <v>400000</v>
      </c>
      <c r="E9" s="4"/>
      <c r="F9" s="4"/>
      <c r="G9" s="1"/>
      <c r="H9" s="1"/>
      <c r="I9" s="5"/>
      <c r="J9" s="5"/>
      <c r="K9" s="1"/>
      <c r="L9" s="1"/>
      <c r="M9" s="4"/>
      <c r="N9" s="4"/>
      <c r="O9" s="1"/>
    </row>
    <row r="10" spans="1:15" ht="14.45" customHeight="1" x14ac:dyDescent="0.25">
      <c r="A10" s="200" t="s">
        <v>23</v>
      </c>
      <c r="B10" s="201" t="s">
        <v>81</v>
      </c>
      <c r="C10" s="201" t="s">
        <v>82</v>
      </c>
      <c r="D10" s="202">
        <v>385000</v>
      </c>
      <c r="E10" s="4"/>
      <c r="F10" s="4"/>
      <c r="G10" s="1"/>
      <c r="H10" s="1"/>
      <c r="I10" s="5"/>
      <c r="J10" s="5"/>
      <c r="K10" s="1"/>
      <c r="L10" s="1"/>
      <c r="M10" s="4"/>
      <c r="N10" s="4"/>
      <c r="O10" s="1"/>
    </row>
    <row r="11" spans="1:15" ht="14.45" customHeight="1" x14ac:dyDescent="0.25">
      <c r="A11" s="200" t="s">
        <v>24</v>
      </c>
      <c r="B11" s="201" t="s">
        <v>81</v>
      </c>
      <c r="C11" s="201" t="s">
        <v>82</v>
      </c>
      <c r="D11" s="202">
        <v>385000</v>
      </c>
      <c r="E11" s="4"/>
      <c r="F11" s="4"/>
      <c r="G11" s="1"/>
      <c r="H11" s="1"/>
      <c r="I11" s="5"/>
      <c r="J11" s="5"/>
      <c r="K11" s="1"/>
      <c r="L11" s="1"/>
      <c r="M11" s="4"/>
      <c r="N11" s="4"/>
      <c r="O11" s="1"/>
    </row>
    <row r="12" spans="1:15" ht="14.45" customHeight="1" x14ac:dyDescent="0.25">
      <c r="A12" s="200" t="s">
        <v>0</v>
      </c>
      <c r="B12" s="201" t="s">
        <v>81</v>
      </c>
      <c r="C12" s="201" t="s">
        <v>82</v>
      </c>
      <c r="D12" s="202">
        <v>385000</v>
      </c>
      <c r="E12" s="4"/>
      <c r="F12" s="4"/>
      <c r="G12" s="1"/>
      <c r="H12" s="1"/>
      <c r="I12" s="5"/>
      <c r="J12" s="5"/>
      <c r="K12" s="1"/>
      <c r="L12" s="1"/>
      <c r="M12" s="4"/>
      <c r="N12" s="4"/>
      <c r="O12" s="1"/>
    </row>
    <row r="13" spans="1:15" ht="14.45" customHeight="1" x14ac:dyDescent="0.25">
      <c r="A13" s="200" t="s">
        <v>175</v>
      </c>
      <c r="B13" s="201" t="s">
        <v>81</v>
      </c>
      <c r="C13" s="201" t="s">
        <v>82</v>
      </c>
      <c r="D13" s="202">
        <v>385000</v>
      </c>
      <c r="E13" s="4"/>
      <c r="F13" s="4"/>
      <c r="G13" s="1"/>
      <c r="H13" s="1"/>
      <c r="I13" s="5"/>
      <c r="J13" s="5"/>
      <c r="K13" s="1"/>
      <c r="L13" s="1"/>
      <c r="M13" s="4"/>
      <c r="N13" s="4"/>
      <c r="O13" s="1"/>
    </row>
    <row r="14" spans="1:15" ht="14.45" customHeight="1" x14ac:dyDescent="0.25">
      <c r="A14" s="209" t="s">
        <v>291</v>
      </c>
      <c r="B14" s="212" t="s">
        <v>81</v>
      </c>
      <c r="C14" s="212" t="s">
        <v>82</v>
      </c>
      <c r="D14" s="213">
        <v>360000</v>
      </c>
      <c r="E14" s="4"/>
      <c r="F14" s="4"/>
      <c r="G14" s="1"/>
      <c r="H14" s="1"/>
      <c r="I14" s="5"/>
      <c r="J14" s="5"/>
      <c r="K14" s="1"/>
      <c r="L14" s="1"/>
      <c r="M14" s="4"/>
      <c r="N14" s="4"/>
      <c r="O14" s="1"/>
    </row>
    <row r="15" spans="1:15" ht="14.45" customHeight="1" x14ac:dyDescent="0.25">
      <c r="A15" s="209" t="s">
        <v>287</v>
      </c>
      <c r="B15" s="212" t="s">
        <v>81</v>
      </c>
      <c r="C15" s="212" t="s">
        <v>82</v>
      </c>
      <c r="D15" s="213">
        <v>360000</v>
      </c>
      <c r="E15" s="4"/>
      <c r="F15" s="4"/>
      <c r="G15" s="1"/>
      <c r="H15" s="1"/>
      <c r="I15" s="5"/>
      <c r="J15" s="5"/>
      <c r="K15" s="1"/>
      <c r="L15" s="1"/>
      <c r="M15" s="4"/>
      <c r="N15" s="4"/>
      <c r="O15" s="1"/>
    </row>
    <row r="16" spans="1:15" ht="14.45" customHeight="1" x14ac:dyDescent="0.25">
      <c r="A16" s="209" t="s">
        <v>283</v>
      </c>
      <c r="B16" s="212" t="s">
        <v>81</v>
      </c>
      <c r="C16" s="212" t="s">
        <v>82</v>
      </c>
      <c r="D16" s="213">
        <v>360000</v>
      </c>
      <c r="E16" s="4"/>
      <c r="F16" s="4"/>
      <c r="G16" s="1"/>
      <c r="H16" s="1"/>
      <c r="I16" s="5"/>
      <c r="J16" s="5"/>
      <c r="K16" s="1"/>
      <c r="L16" s="1"/>
      <c r="M16" s="4"/>
      <c r="N16" s="4"/>
      <c r="O16" s="1"/>
    </row>
    <row r="17" spans="1:15" ht="14.45" customHeight="1" x14ac:dyDescent="0.25">
      <c r="A17" s="208" t="s">
        <v>204</v>
      </c>
      <c r="B17" s="201" t="s">
        <v>81</v>
      </c>
      <c r="C17" s="201" t="s">
        <v>82</v>
      </c>
      <c r="D17" s="202">
        <v>360000</v>
      </c>
      <c r="E17" s="4"/>
      <c r="F17" s="4"/>
      <c r="G17" s="1"/>
      <c r="H17" s="1"/>
      <c r="I17" s="5"/>
      <c r="J17" s="5"/>
      <c r="K17" s="1"/>
      <c r="L17" s="1"/>
      <c r="M17" s="4"/>
      <c r="N17" s="4"/>
      <c r="O17" s="1"/>
    </row>
    <row r="18" spans="1:15" ht="14.45" customHeight="1" x14ac:dyDescent="0.25">
      <c r="A18" s="208" t="s">
        <v>198</v>
      </c>
      <c r="B18" s="215" t="s">
        <v>81</v>
      </c>
      <c r="C18" s="215" t="s">
        <v>82</v>
      </c>
      <c r="D18" s="216">
        <v>360000</v>
      </c>
      <c r="E18" s="4"/>
      <c r="F18" s="4"/>
      <c r="G18" s="1"/>
      <c r="H18" s="1"/>
      <c r="I18" s="5"/>
      <c r="J18" s="5"/>
      <c r="K18" s="1"/>
      <c r="L18" s="1"/>
      <c r="M18" s="4"/>
      <c r="N18" s="4"/>
      <c r="O18" s="1"/>
    </row>
    <row r="19" spans="1:15" ht="14.45" customHeight="1" x14ac:dyDescent="0.25">
      <c r="A19" s="208" t="s">
        <v>196</v>
      </c>
      <c r="B19" s="201" t="s">
        <v>81</v>
      </c>
      <c r="C19" s="201" t="s">
        <v>82</v>
      </c>
      <c r="D19" s="202">
        <v>360000</v>
      </c>
      <c r="E19" s="4"/>
      <c r="F19" s="4"/>
      <c r="G19" s="1"/>
      <c r="H19" s="1"/>
      <c r="I19" s="5"/>
      <c r="J19" s="5"/>
      <c r="K19" s="1"/>
      <c r="L19" s="1"/>
      <c r="M19" s="4"/>
      <c r="N19" s="4"/>
      <c r="O19" s="1"/>
    </row>
    <row r="20" spans="1:15" ht="14.45" customHeight="1" x14ac:dyDescent="0.25">
      <c r="A20" s="208" t="s">
        <v>20</v>
      </c>
      <c r="B20" s="201" t="s">
        <v>81</v>
      </c>
      <c r="C20" s="201" t="s">
        <v>82</v>
      </c>
      <c r="D20" s="202">
        <v>360000</v>
      </c>
      <c r="E20" s="4"/>
      <c r="F20" s="4"/>
      <c r="G20" s="1"/>
      <c r="H20" s="1"/>
      <c r="I20" s="5"/>
      <c r="J20" s="5"/>
      <c r="K20" s="1"/>
      <c r="L20" s="1"/>
      <c r="M20" s="4"/>
      <c r="N20" s="4"/>
      <c r="O20" s="1"/>
    </row>
    <row r="21" spans="1:15" ht="14.45" customHeight="1" x14ac:dyDescent="0.25">
      <c r="A21" s="200" t="s">
        <v>22</v>
      </c>
      <c r="B21" s="201" t="s">
        <v>81</v>
      </c>
      <c r="C21" s="201" t="s">
        <v>82</v>
      </c>
      <c r="D21" s="202">
        <v>360000</v>
      </c>
      <c r="E21" s="4"/>
      <c r="F21" s="4"/>
      <c r="G21" s="1"/>
      <c r="H21" s="1"/>
      <c r="I21" s="5"/>
      <c r="J21" s="5"/>
      <c r="K21" s="1"/>
      <c r="L21" s="1"/>
      <c r="M21" s="4"/>
      <c r="N21" s="4"/>
      <c r="O21" s="1"/>
    </row>
    <row r="22" spans="1:15" ht="14.45" customHeight="1" x14ac:dyDescent="0.25">
      <c r="A22" s="209" t="s">
        <v>291</v>
      </c>
      <c r="B22" s="212" t="s">
        <v>73</v>
      </c>
      <c r="C22" s="212" t="s">
        <v>79</v>
      </c>
      <c r="D22" s="213">
        <v>332000</v>
      </c>
      <c r="E22" s="4"/>
      <c r="F22" s="4"/>
      <c r="G22" s="1"/>
      <c r="H22" s="1"/>
      <c r="I22" s="5"/>
      <c r="J22" s="5"/>
      <c r="K22" s="1"/>
      <c r="L22" s="1"/>
      <c r="M22" s="4"/>
      <c r="N22" s="4"/>
      <c r="O22" s="1"/>
    </row>
    <row r="23" spans="1:15" ht="14.45" customHeight="1" x14ac:dyDescent="0.25">
      <c r="A23" s="208" t="s">
        <v>198</v>
      </c>
      <c r="B23" s="215" t="s">
        <v>75</v>
      </c>
      <c r="C23" s="215" t="s">
        <v>79</v>
      </c>
      <c r="D23" s="216">
        <v>320000</v>
      </c>
      <c r="E23" s="4"/>
      <c r="F23" s="4"/>
      <c r="G23" s="1"/>
      <c r="H23" s="1"/>
      <c r="I23" s="5"/>
      <c r="J23" s="5"/>
      <c r="K23" s="1"/>
      <c r="L23" s="1"/>
      <c r="M23" s="4"/>
      <c r="N23" s="4"/>
      <c r="O23" s="1"/>
    </row>
    <row r="24" spans="1:15" ht="14.45" customHeight="1" x14ac:dyDescent="0.25">
      <c r="A24" s="200" t="s">
        <v>0</v>
      </c>
      <c r="B24" s="201" t="s">
        <v>81</v>
      </c>
      <c r="C24" s="201" t="s">
        <v>62</v>
      </c>
      <c r="D24" s="202">
        <v>290000</v>
      </c>
      <c r="E24" s="4"/>
      <c r="F24" s="4"/>
      <c r="G24" s="1"/>
      <c r="H24" s="1"/>
      <c r="I24" s="5"/>
      <c r="J24" s="5"/>
      <c r="K24" s="1"/>
      <c r="L24" s="1"/>
      <c r="M24" s="4"/>
      <c r="N24" s="4"/>
      <c r="O24" s="1"/>
    </row>
    <row r="25" spans="1:15" ht="14.45" customHeight="1" x14ac:dyDescent="0.25">
      <c r="A25" s="200" t="s">
        <v>175</v>
      </c>
      <c r="B25" s="201" t="s">
        <v>81</v>
      </c>
      <c r="C25" s="201" t="s">
        <v>62</v>
      </c>
      <c r="D25" s="202">
        <v>290000</v>
      </c>
      <c r="E25" s="4"/>
      <c r="F25" s="4"/>
      <c r="G25" s="1"/>
      <c r="H25" s="1"/>
      <c r="I25" s="5"/>
      <c r="J25" s="5"/>
      <c r="K25" s="1"/>
      <c r="L25" s="1"/>
      <c r="M25" s="4"/>
      <c r="N25" s="4"/>
      <c r="O25" s="1"/>
    </row>
    <row r="26" spans="1:15" ht="14.45" customHeight="1" x14ac:dyDescent="0.25">
      <c r="A26" s="208" t="s">
        <v>204</v>
      </c>
      <c r="B26" s="201" t="s">
        <v>81</v>
      </c>
      <c r="C26" s="201" t="s">
        <v>93</v>
      </c>
      <c r="D26" s="202">
        <v>255000</v>
      </c>
      <c r="E26" s="4"/>
      <c r="F26" s="4"/>
      <c r="G26" s="1"/>
      <c r="H26" s="1"/>
      <c r="I26" s="5"/>
      <c r="J26" s="5"/>
      <c r="K26" s="1"/>
      <c r="L26" s="1"/>
      <c r="M26" s="4"/>
      <c r="N26" s="4"/>
      <c r="O26" s="1"/>
    </row>
    <row r="27" spans="1:15" ht="14.45" customHeight="1" x14ac:dyDescent="0.25">
      <c r="A27" s="208" t="s">
        <v>198</v>
      </c>
      <c r="B27" s="215" t="s">
        <v>81</v>
      </c>
      <c r="C27" s="215" t="s">
        <v>106</v>
      </c>
      <c r="D27" s="216">
        <v>255000</v>
      </c>
      <c r="E27" s="4"/>
      <c r="F27" s="4"/>
      <c r="G27" s="1"/>
      <c r="H27" s="1"/>
      <c r="I27" s="5"/>
      <c r="J27" s="5"/>
      <c r="K27" s="1"/>
      <c r="L27" s="1"/>
      <c r="M27" s="4"/>
      <c r="N27" s="4"/>
      <c r="O27" s="1"/>
    </row>
    <row r="28" spans="1:15" ht="14.45" customHeight="1" x14ac:dyDescent="0.25">
      <c r="A28" s="209" t="s">
        <v>293</v>
      </c>
      <c r="B28" s="212" t="s">
        <v>81</v>
      </c>
      <c r="C28" s="212" t="s">
        <v>82</v>
      </c>
      <c r="D28" s="213">
        <v>250000</v>
      </c>
      <c r="E28" s="4"/>
      <c r="F28" s="4"/>
      <c r="G28" s="1"/>
      <c r="H28" s="1"/>
      <c r="I28" s="5"/>
      <c r="J28" s="5"/>
      <c r="K28" s="1"/>
      <c r="L28" s="1"/>
      <c r="M28" s="4"/>
      <c r="N28" s="4"/>
      <c r="O28" s="1"/>
    </row>
    <row r="29" spans="1:15" ht="14.45" customHeight="1" x14ac:dyDescent="0.25">
      <c r="A29" s="200" t="s">
        <v>175</v>
      </c>
      <c r="B29" s="201" t="s">
        <v>158</v>
      </c>
      <c r="C29" s="201" t="s">
        <v>159</v>
      </c>
      <c r="D29" s="202">
        <v>250000</v>
      </c>
      <c r="E29" s="4"/>
      <c r="F29" s="4"/>
      <c r="G29" s="1"/>
      <c r="H29" s="1"/>
      <c r="I29" s="5"/>
      <c r="J29" s="5"/>
      <c r="K29" s="1"/>
      <c r="L29" s="1"/>
      <c r="M29" s="4"/>
      <c r="N29" s="4"/>
      <c r="O29" s="1"/>
    </row>
    <row r="30" spans="1:15" ht="14.45" customHeight="1" x14ac:dyDescent="0.25">
      <c r="A30" s="200" t="s">
        <v>23</v>
      </c>
      <c r="B30" s="201" t="s">
        <v>81</v>
      </c>
      <c r="C30" s="201" t="s">
        <v>62</v>
      </c>
      <c r="D30" s="202">
        <v>240000</v>
      </c>
      <c r="E30" s="4"/>
      <c r="F30" s="4"/>
      <c r="G30" s="1"/>
      <c r="H30" s="1"/>
      <c r="I30" s="5"/>
      <c r="J30" s="5"/>
      <c r="K30" s="1"/>
      <c r="L30" s="1"/>
      <c r="M30" s="4"/>
      <c r="N30" s="4"/>
      <c r="O30" s="1"/>
    </row>
    <row r="31" spans="1:15" ht="14.45" customHeight="1" x14ac:dyDescent="0.25">
      <c r="A31" s="200" t="s">
        <v>24</v>
      </c>
      <c r="B31" s="201" t="s">
        <v>81</v>
      </c>
      <c r="C31" s="201" t="s">
        <v>62</v>
      </c>
      <c r="D31" s="202">
        <v>240000</v>
      </c>
      <c r="E31" s="4"/>
      <c r="F31" s="4"/>
      <c r="G31" s="1"/>
      <c r="H31" s="1"/>
      <c r="I31" s="5"/>
      <c r="J31" s="5"/>
      <c r="K31" s="1"/>
      <c r="L31" s="1"/>
      <c r="M31" s="4"/>
      <c r="N31" s="4"/>
      <c r="O31" s="1"/>
    </row>
    <row r="32" spans="1:15" ht="14.45" customHeight="1" x14ac:dyDescent="0.25">
      <c r="A32" s="200" t="s">
        <v>175</v>
      </c>
      <c r="B32" s="201" t="s">
        <v>63</v>
      </c>
      <c r="C32" s="201" t="s">
        <v>162</v>
      </c>
      <c r="D32" s="202">
        <v>225000</v>
      </c>
      <c r="E32" s="4"/>
      <c r="F32" s="4"/>
      <c r="G32" s="1"/>
      <c r="H32" s="1"/>
      <c r="I32" s="5"/>
      <c r="J32" s="5"/>
      <c r="K32" s="1"/>
      <c r="L32" s="1"/>
      <c r="M32" s="4"/>
      <c r="N32" s="4"/>
      <c r="O32" s="1"/>
    </row>
    <row r="33" spans="1:15" ht="14.45" customHeight="1" x14ac:dyDescent="0.25">
      <c r="A33" s="200" t="s">
        <v>175</v>
      </c>
      <c r="B33" s="201" t="s">
        <v>73</v>
      </c>
      <c r="C33" s="201" t="s">
        <v>162</v>
      </c>
      <c r="D33" s="202">
        <v>225000</v>
      </c>
      <c r="E33" s="4"/>
      <c r="F33" s="4"/>
      <c r="G33" s="1"/>
      <c r="H33" s="1"/>
      <c r="I33" s="5"/>
      <c r="J33" s="5"/>
      <c r="K33" s="1"/>
      <c r="L33" s="1"/>
      <c r="M33" s="4"/>
      <c r="N33" s="4"/>
      <c r="O33" s="1"/>
    </row>
    <row r="34" spans="1:15" ht="14.45" customHeight="1" x14ac:dyDescent="0.25">
      <c r="A34" s="200" t="s">
        <v>0</v>
      </c>
      <c r="B34" s="201" t="s">
        <v>81</v>
      </c>
      <c r="C34" s="201" t="s">
        <v>102</v>
      </c>
      <c r="D34" s="202">
        <v>225000</v>
      </c>
      <c r="E34" s="4"/>
      <c r="F34" s="4"/>
      <c r="G34" s="1"/>
      <c r="H34" s="1"/>
      <c r="I34" s="5"/>
      <c r="J34" s="5"/>
      <c r="K34" s="1"/>
      <c r="L34" s="1"/>
      <c r="M34" s="4"/>
      <c r="N34" s="4"/>
      <c r="O34" s="1"/>
    </row>
    <row r="35" spans="1:15" ht="14.45" customHeight="1" x14ac:dyDescent="0.25">
      <c r="A35" s="209" t="s">
        <v>283</v>
      </c>
      <c r="B35" s="212" t="s">
        <v>75</v>
      </c>
      <c r="C35" s="212" t="s">
        <v>94</v>
      </c>
      <c r="D35" s="213">
        <v>200000</v>
      </c>
      <c r="E35" s="4"/>
      <c r="F35" s="4"/>
      <c r="G35" s="1"/>
      <c r="H35" s="1"/>
      <c r="I35" s="5"/>
      <c r="J35" s="5"/>
      <c r="K35" s="1"/>
      <c r="L35" s="1"/>
      <c r="M35" s="4"/>
      <c r="N35" s="4"/>
      <c r="O35" s="1"/>
    </row>
    <row r="36" spans="1:15" ht="14.45" customHeight="1" x14ac:dyDescent="0.25">
      <c r="A36" s="217" t="s">
        <v>175</v>
      </c>
      <c r="B36" s="201" t="s">
        <v>75</v>
      </c>
      <c r="C36" s="201" t="s">
        <v>167</v>
      </c>
      <c r="D36" s="202">
        <v>200000</v>
      </c>
      <c r="E36" s="4"/>
      <c r="F36" s="4"/>
      <c r="G36" s="1"/>
      <c r="H36" s="1"/>
      <c r="I36" s="5"/>
      <c r="J36" s="5"/>
      <c r="K36" s="1"/>
      <c r="L36" s="1"/>
      <c r="M36" s="4"/>
      <c r="N36" s="4"/>
      <c r="O36" s="1"/>
    </row>
    <row r="37" spans="1:15" ht="14.45" customHeight="1" x14ac:dyDescent="0.25">
      <c r="A37" s="217" t="s">
        <v>23</v>
      </c>
      <c r="B37" s="222" t="s">
        <v>75</v>
      </c>
      <c r="C37" s="201" t="s">
        <v>124</v>
      </c>
      <c r="D37" s="202">
        <v>196000</v>
      </c>
    </row>
    <row r="38" spans="1:15" ht="14.45" customHeight="1" x14ac:dyDescent="0.25">
      <c r="A38" s="217" t="s">
        <v>22</v>
      </c>
      <c r="B38" s="201" t="s">
        <v>66</v>
      </c>
      <c r="C38" s="201" t="s">
        <v>118</v>
      </c>
      <c r="D38" s="202">
        <v>190000</v>
      </c>
    </row>
    <row r="39" spans="1:15" ht="14.45" customHeight="1" x14ac:dyDescent="0.25">
      <c r="A39" s="214" t="s">
        <v>204</v>
      </c>
      <c r="B39" s="201" t="s">
        <v>95</v>
      </c>
      <c r="C39" s="201" t="s">
        <v>94</v>
      </c>
      <c r="D39" s="202">
        <v>190000</v>
      </c>
    </row>
    <row r="40" spans="1:15" ht="14.45" customHeight="1" x14ac:dyDescent="0.25">
      <c r="A40" s="217" t="s">
        <v>24</v>
      </c>
      <c r="B40" s="201" t="s">
        <v>85</v>
      </c>
      <c r="C40" s="201" t="s">
        <v>132</v>
      </c>
      <c r="D40" s="202">
        <v>182000</v>
      </c>
    </row>
    <row r="41" spans="1:15" ht="14.45" customHeight="1" x14ac:dyDescent="0.25">
      <c r="A41" s="214" t="s">
        <v>196</v>
      </c>
      <c r="B41" s="201" t="s">
        <v>71</v>
      </c>
      <c r="C41" s="201" t="s">
        <v>115</v>
      </c>
      <c r="D41" s="202">
        <v>180000</v>
      </c>
    </row>
    <row r="42" spans="1:15" ht="14.45" customHeight="1" x14ac:dyDescent="0.25">
      <c r="A42" s="217" t="s">
        <v>24</v>
      </c>
      <c r="B42" s="201" t="s">
        <v>81</v>
      </c>
      <c r="C42" s="201" t="s">
        <v>331</v>
      </c>
      <c r="D42" s="202">
        <v>155542</v>
      </c>
    </row>
    <row r="43" spans="1:15" ht="14.45" customHeight="1" x14ac:dyDescent="0.25">
      <c r="A43" s="217" t="s">
        <v>24</v>
      </c>
      <c r="B43" s="201" t="s">
        <v>81</v>
      </c>
      <c r="C43" s="201" t="s">
        <v>102</v>
      </c>
      <c r="D43" s="202">
        <v>155542</v>
      </c>
      <c r="F43" s="9"/>
    </row>
    <row r="44" spans="1:15" ht="14.45" customHeight="1" x14ac:dyDescent="0.25">
      <c r="A44" s="217" t="s">
        <v>0</v>
      </c>
      <c r="B44" s="201" t="s">
        <v>66</v>
      </c>
      <c r="C44" s="201" t="s">
        <v>79</v>
      </c>
      <c r="D44" s="202">
        <v>155000</v>
      </c>
    </row>
    <row r="45" spans="1:15" ht="14.45" customHeight="1" x14ac:dyDescent="0.25">
      <c r="A45" s="217" t="s">
        <v>23</v>
      </c>
      <c r="B45" s="201" t="s">
        <v>63</v>
      </c>
      <c r="C45" s="201" t="s">
        <v>126</v>
      </c>
      <c r="D45" s="202">
        <v>150000</v>
      </c>
    </row>
    <row r="46" spans="1:15" ht="14.45" customHeight="1" x14ac:dyDescent="0.25">
      <c r="A46" s="217" t="s">
        <v>22</v>
      </c>
      <c r="B46" s="201" t="s">
        <v>71</v>
      </c>
      <c r="C46" s="201" t="s">
        <v>121</v>
      </c>
      <c r="D46" s="202">
        <v>150000</v>
      </c>
    </row>
    <row r="47" spans="1:15" ht="14.45" customHeight="1" x14ac:dyDescent="0.25">
      <c r="A47" s="217" t="s">
        <v>0</v>
      </c>
      <c r="B47" s="201" t="s">
        <v>73</v>
      </c>
      <c r="C47" s="201" t="s">
        <v>156</v>
      </c>
      <c r="D47" s="202">
        <v>147000</v>
      </c>
    </row>
    <row r="48" spans="1:15" ht="14.45" customHeight="1" x14ac:dyDescent="0.25">
      <c r="A48" s="219" t="s">
        <v>198</v>
      </c>
      <c r="B48" s="222" t="s">
        <v>59</v>
      </c>
      <c r="C48" s="222" t="s">
        <v>150</v>
      </c>
      <c r="D48" s="225">
        <v>145000</v>
      </c>
    </row>
    <row r="49" spans="1:4" ht="14.45" customHeight="1" x14ac:dyDescent="0.25">
      <c r="A49" s="219" t="s">
        <v>209</v>
      </c>
      <c r="B49" s="226" t="s">
        <v>59</v>
      </c>
      <c r="C49" s="201" t="s">
        <v>60</v>
      </c>
      <c r="D49" s="202">
        <v>145000</v>
      </c>
    </row>
    <row r="50" spans="1:4" ht="14.45" customHeight="1" x14ac:dyDescent="0.25">
      <c r="A50" s="219" t="s">
        <v>20</v>
      </c>
      <c r="B50" s="201" t="s">
        <v>71</v>
      </c>
      <c r="C50" s="201" t="s">
        <v>121</v>
      </c>
      <c r="D50" s="202">
        <v>140000</v>
      </c>
    </row>
    <row r="51" spans="1:4" ht="14.45" customHeight="1" x14ac:dyDescent="0.25">
      <c r="A51" s="218" t="s">
        <v>0</v>
      </c>
      <c r="B51" s="201" t="s">
        <v>63</v>
      </c>
      <c r="C51" s="201" t="s">
        <v>156</v>
      </c>
      <c r="D51" s="202">
        <v>131000</v>
      </c>
    </row>
    <row r="52" spans="1:4" ht="14.45" customHeight="1" x14ac:dyDescent="0.25">
      <c r="A52" s="220" t="s">
        <v>287</v>
      </c>
      <c r="B52" s="212" t="s">
        <v>75</v>
      </c>
      <c r="C52" s="212" t="s">
        <v>290</v>
      </c>
      <c r="D52" s="213">
        <v>125000</v>
      </c>
    </row>
    <row r="53" spans="1:4" ht="14.45" customHeight="1" x14ac:dyDescent="0.25">
      <c r="A53" s="218" t="s">
        <v>22</v>
      </c>
      <c r="B53" s="201" t="s">
        <v>66</v>
      </c>
      <c r="C53" s="201" t="s">
        <v>119</v>
      </c>
      <c r="D53" s="202">
        <v>125000</v>
      </c>
    </row>
    <row r="54" spans="1:4" ht="14.45" customHeight="1" x14ac:dyDescent="0.25">
      <c r="A54" s="220" t="s">
        <v>287</v>
      </c>
      <c r="B54" s="212" t="s">
        <v>66</v>
      </c>
      <c r="C54" s="212" t="s">
        <v>286</v>
      </c>
      <c r="D54" s="213">
        <v>125000</v>
      </c>
    </row>
    <row r="55" spans="1:4" ht="14.45" customHeight="1" x14ac:dyDescent="0.25">
      <c r="A55" s="221" t="s">
        <v>198</v>
      </c>
      <c r="B55" s="203" t="s">
        <v>66</v>
      </c>
      <c r="C55" s="203" t="s">
        <v>112</v>
      </c>
      <c r="D55" s="204">
        <v>120000</v>
      </c>
    </row>
    <row r="56" spans="1:4" ht="14.45" customHeight="1" x14ac:dyDescent="0.25">
      <c r="A56" s="218" t="s">
        <v>22</v>
      </c>
      <c r="B56" s="201" t="s">
        <v>81</v>
      </c>
      <c r="C56" s="201" t="s">
        <v>62</v>
      </c>
      <c r="D56" s="202">
        <v>120000</v>
      </c>
    </row>
    <row r="57" spans="1:4" x14ac:dyDescent="0.25">
      <c r="A57" s="218" t="s">
        <v>23</v>
      </c>
      <c r="B57" s="201" t="s">
        <v>66</v>
      </c>
      <c r="C57" s="201" t="s">
        <v>123</v>
      </c>
      <c r="D57" s="202">
        <v>116000</v>
      </c>
    </row>
    <row r="58" spans="1:4" x14ac:dyDescent="0.25">
      <c r="A58" s="218" t="s">
        <v>175</v>
      </c>
      <c r="B58" s="201" t="s">
        <v>66</v>
      </c>
      <c r="C58" s="201" t="s">
        <v>163</v>
      </c>
      <c r="D58" s="202">
        <v>110000</v>
      </c>
    </row>
    <row r="59" spans="1:4" x14ac:dyDescent="0.25">
      <c r="A59" s="220" t="s">
        <v>293</v>
      </c>
      <c r="B59" s="223" t="s">
        <v>66</v>
      </c>
      <c r="C59" s="223" t="s">
        <v>292</v>
      </c>
      <c r="D59" s="224">
        <v>108052</v>
      </c>
    </row>
    <row r="60" spans="1:4" x14ac:dyDescent="0.25">
      <c r="A60" s="220" t="s">
        <v>293</v>
      </c>
      <c r="B60" s="212" t="s">
        <v>80</v>
      </c>
      <c r="C60" s="212" t="s">
        <v>296</v>
      </c>
      <c r="D60" s="213">
        <v>105000</v>
      </c>
    </row>
    <row r="61" spans="1:4" x14ac:dyDescent="0.25">
      <c r="A61" s="219" t="s">
        <v>196</v>
      </c>
      <c r="B61" s="201" t="s">
        <v>71</v>
      </c>
      <c r="C61" s="201" t="s">
        <v>79</v>
      </c>
      <c r="D61" s="202">
        <v>104000</v>
      </c>
    </row>
    <row r="62" spans="1:4" x14ac:dyDescent="0.25">
      <c r="A62" s="219" t="s">
        <v>204</v>
      </c>
      <c r="B62" s="201" t="s">
        <v>66</v>
      </c>
      <c r="C62" s="201" t="s">
        <v>211</v>
      </c>
      <c r="D62" s="202">
        <v>102000</v>
      </c>
    </row>
    <row r="63" spans="1:4" x14ac:dyDescent="0.25">
      <c r="A63" s="218" t="s">
        <v>22</v>
      </c>
      <c r="B63" s="201" t="s">
        <v>81</v>
      </c>
      <c r="C63" s="201" t="s">
        <v>102</v>
      </c>
      <c r="D63" s="202">
        <v>100000</v>
      </c>
    </row>
    <row r="64" spans="1:4" x14ac:dyDescent="0.25">
      <c r="A64" s="218" t="s">
        <v>175</v>
      </c>
      <c r="B64" s="201" t="s">
        <v>81</v>
      </c>
      <c r="C64" s="201" t="s">
        <v>160</v>
      </c>
      <c r="D64" s="202">
        <v>100000</v>
      </c>
    </row>
    <row r="65" spans="1:4" x14ac:dyDescent="0.25">
      <c r="A65" s="219" t="s">
        <v>198</v>
      </c>
      <c r="B65" s="203" t="s">
        <v>81</v>
      </c>
      <c r="C65" s="203" t="s">
        <v>104</v>
      </c>
      <c r="D65" s="204">
        <v>98000</v>
      </c>
    </row>
    <row r="66" spans="1:4" x14ac:dyDescent="0.25">
      <c r="A66" s="218" t="s">
        <v>23</v>
      </c>
      <c r="B66" s="201" t="s">
        <v>80</v>
      </c>
      <c r="C66" s="201" t="s">
        <v>131</v>
      </c>
      <c r="D66" s="202">
        <v>92000</v>
      </c>
    </row>
    <row r="67" spans="1:4" x14ac:dyDescent="0.25">
      <c r="A67" s="219" t="s">
        <v>204</v>
      </c>
      <c r="B67" s="201" t="s">
        <v>66</v>
      </c>
      <c r="C67" s="201" t="s">
        <v>87</v>
      </c>
      <c r="D67" s="202">
        <v>91940</v>
      </c>
    </row>
    <row r="68" spans="1:4" x14ac:dyDescent="0.25">
      <c r="A68" s="219" t="s">
        <v>209</v>
      </c>
      <c r="B68" s="201" t="s">
        <v>75</v>
      </c>
      <c r="C68" s="201" t="s">
        <v>78</v>
      </c>
      <c r="D68" s="202">
        <v>90000</v>
      </c>
    </row>
    <row r="69" spans="1:4" x14ac:dyDescent="0.25">
      <c r="A69" s="219" t="s">
        <v>209</v>
      </c>
      <c r="B69" s="201" t="s">
        <v>71</v>
      </c>
      <c r="C69" s="201" t="s">
        <v>150</v>
      </c>
      <c r="D69" s="202">
        <v>89000</v>
      </c>
    </row>
    <row r="70" spans="1:4" x14ac:dyDescent="0.25">
      <c r="A70" s="219" t="s">
        <v>198</v>
      </c>
      <c r="B70" s="215" t="s">
        <v>71</v>
      </c>
      <c r="C70" s="215" t="s">
        <v>150</v>
      </c>
      <c r="D70" s="216">
        <v>89000</v>
      </c>
    </row>
    <row r="71" spans="1:4" x14ac:dyDescent="0.25">
      <c r="A71" s="219" t="s">
        <v>209</v>
      </c>
      <c r="B71" s="201" t="s">
        <v>71</v>
      </c>
      <c r="C71" s="201" t="s">
        <v>72</v>
      </c>
      <c r="D71" s="202">
        <v>89000</v>
      </c>
    </row>
    <row r="72" spans="1:4" x14ac:dyDescent="0.25">
      <c r="A72" s="221" t="s">
        <v>198</v>
      </c>
      <c r="B72" s="203" t="s">
        <v>66</v>
      </c>
      <c r="C72" s="203" t="s">
        <v>108</v>
      </c>
      <c r="D72" s="204">
        <v>87500</v>
      </c>
    </row>
    <row r="73" spans="1:4" x14ac:dyDescent="0.25">
      <c r="A73" s="221" t="s">
        <v>196</v>
      </c>
      <c r="B73" s="203" t="s">
        <v>66</v>
      </c>
      <c r="C73" s="203" t="s">
        <v>108</v>
      </c>
      <c r="D73" s="204">
        <v>87500</v>
      </c>
    </row>
    <row r="74" spans="1:4" x14ac:dyDescent="0.25">
      <c r="A74" s="219" t="s">
        <v>209</v>
      </c>
      <c r="B74" s="201" t="s">
        <v>66</v>
      </c>
      <c r="C74" s="201" t="s">
        <v>96</v>
      </c>
      <c r="D74" s="202">
        <v>80000</v>
      </c>
    </row>
    <row r="75" spans="1:4" x14ac:dyDescent="0.25">
      <c r="A75" s="219" t="s">
        <v>20</v>
      </c>
      <c r="B75" s="206" t="s">
        <v>66</v>
      </c>
      <c r="C75" s="206" t="s">
        <v>109</v>
      </c>
      <c r="D75" s="207">
        <v>78000</v>
      </c>
    </row>
    <row r="76" spans="1:4" x14ac:dyDescent="0.25">
      <c r="A76" s="218" t="s">
        <v>0</v>
      </c>
      <c r="B76" s="201" t="s">
        <v>81</v>
      </c>
      <c r="C76" s="201" t="s">
        <v>331</v>
      </c>
      <c r="D76" s="202">
        <v>77771</v>
      </c>
    </row>
    <row r="77" spans="1:4" x14ac:dyDescent="0.25">
      <c r="A77" s="219" t="s">
        <v>198</v>
      </c>
      <c r="B77" s="215" t="s">
        <v>66</v>
      </c>
      <c r="C77" s="215" t="s">
        <v>149</v>
      </c>
      <c r="D77" s="216">
        <v>75000</v>
      </c>
    </row>
    <row r="78" spans="1:4" x14ac:dyDescent="0.25">
      <c r="A78" s="220" t="s">
        <v>293</v>
      </c>
      <c r="B78" s="212" t="s">
        <v>80</v>
      </c>
      <c r="C78" s="212" t="s">
        <v>295</v>
      </c>
      <c r="D78" s="213">
        <v>75000</v>
      </c>
    </row>
    <row r="79" spans="1:4" x14ac:dyDescent="0.25">
      <c r="A79" s="219" t="s">
        <v>209</v>
      </c>
      <c r="B79" s="201" t="s">
        <v>66</v>
      </c>
      <c r="C79" s="201" t="s">
        <v>69</v>
      </c>
      <c r="D79" s="202">
        <v>75000</v>
      </c>
    </row>
    <row r="80" spans="1:4" x14ac:dyDescent="0.25">
      <c r="A80" s="219" t="s">
        <v>204</v>
      </c>
      <c r="B80" s="201" t="s">
        <v>66</v>
      </c>
      <c r="C80" s="201" t="s">
        <v>94</v>
      </c>
      <c r="D80" s="202">
        <v>75000</v>
      </c>
    </row>
    <row r="81" spans="1:4" x14ac:dyDescent="0.25">
      <c r="A81" s="220" t="s">
        <v>287</v>
      </c>
      <c r="B81" s="223" t="s">
        <v>66</v>
      </c>
      <c r="C81" s="223" t="s">
        <v>60</v>
      </c>
      <c r="D81" s="224">
        <v>75000</v>
      </c>
    </row>
    <row r="82" spans="1:4" x14ac:dyDescent="0.25">
      <c r="A82" s="219" t="s">
        <v>20</v>
      </c>
      <c r="B82" s="201" t="s">
        <v>81</v>
      </c>
      <c r="C82" s="201" t="s">
        <v>145</v>
      </c>
      <c r="D82" s="202">
        <v>71000</v>
      </c>
    </row>
    <row r="83" spans="1:4" x14ac:dyDescent="0.25">
      <c r="A83" s="220" t="s">
        <v>283</v>
      </c>
      <c r="B83" s="212" t="s">
        <v>71</v>
      </c>
      <c r="C83" s="212" t="s">
        <v>282</v>
      </c>
      <c r="D83" s="213">
        <v>70500</v>
      </c>
    </row>
    <row r="84" spans="1:4" x14ac:dyDescent="0.25">
      <c r="A84" s="219" t="s">
        <v>196</v>
      </c>
      <c r="B84" s="201" t="s">
        <v>66</v>
      </c>
      <c r="C84" s="201" t="s">
        <v>110</v>
      </c>
      <c r="D84" s="202">
        <v>70000</v>
      </c>
    </row>
    <row r="85" spans="1:4" x14ac:dyDescent="0.25">
      <c r="A85" s="218" t="s">
        <v>23</v>
      </c>
      <c r="B85" s="203" t="s">
        <v>75</v>
      </c>
      <c r="C85" s="203" t="s">
        <v>123</v>
      </c>
      <c r="D85" s="204">
        <v>69000</v>
      </c>
    </row>
    <row r="86" spans="1:4" x14ac:dyDescent="0.25">
      <c r="A86" s="219" t="s">
        <v>198</v>
      </c>
      <c r="B86" s="203" t="s">
        <v>75</v>
      </c>
      <c r="C86" s="203" t="s">
        <v>78</v>
      </c>
      <c r="D86" s="204">
        <v>68000</v>
      </c>
    </row>
    <row r="87" spans="1:4" x14ac:dyDescent="0.25">
      <c r="A87" s="219" t="s">
        <v>196</v>
      </c>
      <c r="B87" s="203" t="s">
        <v>75</v>
      </c>
      <c r="C87" s="203" t="s">
        <v>78</v>
      </c>
      <c r="D87" s="204">
        <v>68000</v>
      </c>
    </row>
    <row r="88" spans="1:4" x14ac:dyDescent="0.25">
      <c r="A88" s="219" t="s">
        <v>20</v>
      </c>
      <c r="B88" s="203" t="s">
        <v>75</v>
      </c>
      <c r="C88" s="203" t="s">
        <v>144</v>
      </c>
      <c r="D88" s="204">
        <v>68000</v>
      </c>
    </row>
    <row r="89" spans="1:4" x14ac:dyDescent="0.25">
      <c r="A89" s="218" t="s">
        <v>175</v>
      </c>
      <c r="B89" s="201" t="s">
        <v>66</v>
      </c>
      <c r="C89" s="201" t="s">
        <v>164</v>
      </c>
      <c r="D89" s="202">
        <v>68000</v>
      </c>
    </row>
    <row r="90" spans="1:4" x14ac:dyDescent="0.25">
      <c r="A90" s="218" t="s">
        <v>0</v>
      </c>
      <c r="B90" s="201" t="s">
        <v>63</v>
      </c>
      <c r="C90" s="201" t="s">
        <v>155</v>
      </c>
      <c r="D90" s="202">
        <v>68000</v>
      </c>
    </row>
    <row r="91" spans="1:4" x14ac:dyDescent="0.25">
      <c r="A91" s="219" t="s">
        <v>204</v>
      </c>
      <c r="B91" s="201" t="s">
        <v>63</v>
      </c>
      <c r="C91" s="201" t="s">
        <v>86</v>
      </c>
      <c r="D91" s="202">
        <v>67900</v>
      </c>
    </row>
    <row r="92" spans="1:4" x14ac:dyDescent="0.25">
      <c r="A92" s="218" t="s">
        <v>23</v>
      </c>
      <c r="B92" s="201" t="s">
        <v>71</v>
      </c>
      <c r="C92" s="201" t="s">
        <v>128</v>
      </c>
      <c r="D92" s="202">
        <v>65700</v>
      </c>
    </row>
    <row r="93" spans="1:4" x14ac:dyDescent="0.25">
      <c r="A93" s="220" t="s">
        <v>291</v>
      </c>
      <c r="B93" s="223" t="s">
        <v>66</v>
      </c>
      <c r="C93" s="223" t="s">
        <v>292</v>
      </c>
      <c r="D93" s="224">
        <v>63030</v>
      </c>
    </row>
    <row r="94" spans="1:4" x14ac:dyDescent="0.25">
      <c r="A94" s="218" t="s">
        <v>22</v>
      </c>
      <c r="B94" s="203" t="s">
        <v>75</v>
      </c>
      <c r="C94" s="203" t="s">
        <v>123</v>
      </c>
      <c r="D94" s="204">
        <v>63000</v>
      </c>
    </row>
    <row r="95" spans="1:4" x14ac:dyDescent="0.25">
      <c r="A95" s="218" t="s">
        <v>0</v>
      </c>
      <c r="B95" s="201" t="s">
        <v>81</v>
      </c>
      <c r="C95" s="201" t="s">
        <v>154</v>
      </c>
      <c r="D95" s="202">
        <v>62000</v>
      </c>
    </row>
    <row r="96" spans="1:4" x14ac:dyDescent="0.25">
      <c r="A96" s="218" t="s">
        <v>24</v>
      </c>
      <c r="B96" s="201" t="s">
        <v>71</v>
      </c>
      <c r="C96" s="201" t="s">
        <v>123</v>
      </c>
      <c r="D96" s="202">
        <v>61000</v>
      </c>
    </row>
    <row r="97" spans="1:4" x14ac:dyDescent="0.25">
      <c r="A97" s="218" t="s">
        <v>22</v>
      </c>
      <c r="B97" s="201" t="s">
        <v>73</v>
      </c>
      <c r="C97" s="205" t="s">
        <v>123</v>
      </c>
      <c r="D97" s="202">
        <v>61000</v>
      </c>
    </row>
    <row r="98" spans="1:4" x14ac:dyDescent="0.25">
      <c r="A98" s="218" t="s">
        <v>24</v>
      </c>
      <c r="B98" s="201" t="s">
        <v>63</v>
      </c>
      <c r="C98" s="201" t="s">
        <v>123</v>
      </c>
      <c r="D98" s="202">
        <v>60000</v>
      </c>
    </row>
    <row r="99" spans="1:4" x14ac:dyDescent="0.25">
      <c r="A99" s="219" t="s">
        <v>209</v>
      </c>
      <c r="B99" s="201" t="s">
        <v>75</v>
      </c>
      <c r="C99" s="201" t="s">
        <v>76</v>
      </c>
      <c r="D99" s="202">
        <v>60000</v>
      </c>
    </row>
    <row r="100" spans="1:4" x14ac:dyDescent="0.25">
      <c r="A100" s="218" t="s">
        <v>21</v>
      </c>
      <c r="B100" s="201" t="s">
        <v>81</v>
      </c>
      <c r="C100" s="201" t="s">
        <v>62</v>
      </c>
      <c r="D100" s="202">
        <v>60000</v>
      </c>
    </row>
    <row r="101" spans="1:4" x14ac:dyDescent="0.25">
      <c r="A101" s="219" t="s">
        <v>204</v>
      </c>
      <c r="B101" s="201" t="s">
        <v>59</v>
      </c>
      <c r="C101" s="201" t="s">
        <v>92</v>
      </c>
      <c r="D101" s="202">
        <v>60000</v>
      </c>
    </row>
    <row r="102" spans="1:4" x14ac:dyDescent="0.25">
      <c r="A102" s="218" t="s">
        <v>175</v>
      </c>
      <c r="B102" s="201" t="s">
        <v>66</v>
      </c>
      <c r="C102" s="201" t="s">
        <v>165</v>
      </c>
      <c r="D102" s="202">
        <v>60000</v>
      </c>
    </row>
    <row r="103" spans="1:4" x14ac:dyDescent="0.25">
      <c r="A103" s="231" t="s">
        <v>22</v>
      </c>
      <c r="B103" s="203" t="s">
        <v>66</v>
      </c>
      <c r="C103" s="203" t="s">
        <v>112</v>
      </c>
      <c r="D103" s="204">
        <v>58000</v>
      </c>
    </row>
    <row r="104" spans="1:4" x14ac:dyDescent="0.25">
      <c r="A104" s="220" t="s">
        <v>283</v>
      </c>
      <c r="B104" s="212" t="s">
        <v>85</v>
      </c>
      <c r="C104" s="212" t="s">
        <v>206</v>
      </c>
      <c r="D104" s="213">
        <v>56800</v>
      </c>
    </row>
    <row r="105" spans="1:4" x14ac:dyDescent="0.25">
      <c r="A105" s="231" t="s">
        <v>23</v>
      </c>
      <c r="B105" s="203" t="s">
        <v>66</v>
      </c>
      <c r="C105" s="203" t="s">
        <v>112</v>
      </c>
      <c r="D105" s="204">
        <v>56000</v>
      </c>
    </row>
    <row r="106" spans="1:4" x14ac:dyDescent="0.25">
      <c r="A106" s="231" t="s">
        <v>24</v>
      </c>
      <c r="B106" s="203" t="s">
        <v>66</v>
      </c>
      <c r="C106" s="203" t="s">
        <v>112</v>
      </c>
      <c r="D106" s="204">
        <v>56000</v>
      </c>
    </row>
    <row r="107" spans="1:4" x14ac:dyDescent="0.25">
      <c r="A107" s="218" t="s">
        <v>175</v>
      </c>
      <c r="B107" s="201" t="s">
        <v>81</v>
      </c>
      <c r="C107" s="201" t="s">
        <v>154</v>
      </c>
      <c r="D107" s="202">
        <v>54700</v>
      </c>
    </row>
    <row r="108" spans="1:4" x14ac:dyDescent="0.25">
      <c r="A108" s="221" t="s">
        <v>196</v>
      </c>
      <c r="B108" s="203" t="s">
        <v>66</v>
      </c>
      <c r="C108" s="203" t="s">
        <v>112</v>
      </c>
      <c r="D108" s="204">
        <v>54000</v>
      </c>
    </row>
    <row r="109" spans="1:4" x14ac:dyDescent="0.25">
      <c r="A109" s="218" t="s">
        <v>24</v>
      </c>
      <c r="B109" s="201" t="s">
        <v>73</v>
      </c>
      <c r="C109" s="201" t="s">
        <v>123</v>
      </c>
      <c r="D109" s="202">
        <v>53000</v>
      </c>
    </row>
    <row r="110" spans="1:4" x14ac:dyDescent="0.25">
      <c r="A110" s="218" t="s">
        <v>24</v>
      </c>
      <c r="B110" s="201" t="s">
        <v>66</v>
      </c>
      <c r="C110" s="201" t="s">
        <v>133</v>
      </c>
      <c r="D110" s="202">
        <v>50000</v>
      </c>
    </row>
    <row r="111" spans="1:4" x14ac:dyDescent="0.25">
      <c r="A111" s="220" t="s">
        <v>293</v>
      </c>
      <c r="B111" s="212" t="s">
        <v>75</v>
      </c>
      <c r="C111" s="212" t="s">
        <v>290</v>
      </c>
      <c r="D111" s="213">
        <v>50000</v>
      </c>
    </row>
    <row r="112" spans="1:4" x14ac:dyDescent="0.25">
      <c r="A112" s="218" t="s">
        <v>22</v>
      </c>
      <c r="B112" s="201" t="s">
        <v>63</v>
      </c>
      <c r="C112" s="201" t="s">
        <v>117</v>
      </c>
      <c r="D112" s="202">
        <v>50000</v>
      </c>
    </row>
    <row r="113" spans="1:4" x14ac:dyDescent="0.25">
      <c r="A113" s="218" t="s">
        <v>21</v>
      </c>
      <c r="B113" s="201" t="s">
        <v>81</v>
      </c>
      <c r="C113" s="201" t="s">
        <v>102</v>
      </c>
      <c r="D113" s="202">
        <v>50000</v>
      </c>
    </row>
    <row r="114" spans="1:4" x14ac:dyDescent="0.25">
      <c r="A114" s="219" t="s">
        <v>204</v>
      </c>
      <c r="B114" s="201" t="s">
        <v>63</v>
      </c>
      <c r="C114" s="201" t="s">
        <v>90</v>
      </c>
      <c r="D114" s="202">
        <v>50000</v>
      </c>
    </row>
    <row r="115" spans="1:4" x14ac:dyDescent="0.25">
      <c r="A115" s="220" t="s">
        <v>283</v>
      </c>
      <c r="B115" s="212" t="s">
        <v>73</v>
      </c>
      <c r="C115" s="212" t="s">
        <v>90</v>
      </c>
      <c r="D115" s="213">
        <v>50000</v>
      </c>
    </row>
    <row r="116" spans="1:4" x14ac:dyDescent="0.25">
      <c r="A116" s="220" t="s">
        <v>283</v>
      </c>
      <c r="B116" s="212" t="s">
        <v>66</v>
      </c>
      <c r="C116" s="212" t="s">
        <v>91</v>
      </c>
      <c r="D116" s="213">
        <v>50000</v>
      </c>
    </row>
    <row r="117" spans="1:4" x14ac:dyDescent="0.25">
      <c r="A117" s="219" t="s">
        <v>204</v>
      </c>
      <c r="B117" s="201" t="s">
        <v>75</v>
      </c>
      <c r="C117" s="201" t="s">
        <v>91</v>
      </c>
      <c r="D117" s="202">
        <v>50000</v>
      </c>
    </row>
    <row r="118" spans="1:4" x14ac:dyDescent="0.25">
      <c r="A118" s="220" t="s">
        <v>283</v>
      </c>
      <c r="B118" s="223" t="s">
        <v>66</v>
      </c>
      <c r="C118" s="223" t="s">
        <v>60</v>
      </c>
      <c r="D118" s="224">
        <v>50000</v>
      </c>
    </row>
    <row r="119" spans="1:4" x14ac:dyDescent="0.25">
      <c r="A119" s="218" t="s">
        <v>21</v>
      </c>
      <c r="B119" s="203" t="s">
        <v>66</v>
      </c>
      <c r="C119" s="203" t="s">
        <v>60</v>
      </c>
      <c r="D119" s="204">
        <v>50000</v>
      </c>
    </row>
    <row r="120" spans="1:4" x14ac:dyDescent="0.25">
      <c r="A120" s="218" t="s">
        <v>24</v>
      </c>
      <c r="B120" s="201" t="s">
        <v>63</v>
      </c>
      <c r="C120" s="201" t="s">
        <v>143</v>
      </c>
      <c r="D120" s="202">
        <v>50000</v>
      </c>
    </row>
    <row r="121" spans="1:4" x14ac:dyDescent="0.25">
      <c r="A121" s="219" t="s">
        <v>196</v>
      </c>
      <c r="B121" s="203" t="s">
        <v>81</v>
      </c>
      <c r="C121" s="203" t="s">
        <v>104</v>
      </c>
      <c r="D121" s="204">
        <v>49000</v>
      </c>
    </row>
    <row r="122" spans="1:4" x14ac:dyDescent="0.25">
      <c r="A122" s="218" t="s">
        <v>22</v>
      </c>
      <c r="B122" s="203" t="s">
        <v>81</v>
      </c>
      <c r="C122" s="203" t="s">
        <v>104</v>
      </c>
      <c r="D122" s="204">
        <v>49000</v>
      </c>
    </row>
    <row r="123" spans="1:4" x14ac:dyDescent="0.25">
      <c r="A123" s="218" t="s">
        <v>23</v>
      </c>
      <c r="B123" s="203" t="s">
        <v>81</v>
      </c>
      <c r="C123" s="203" t="s">
        <v>104</v>
      </c>
      <c r="D123" s="204">
        <v>49000</v>
      </c>
    </row>
    <row r="124" spans="1:4" x14ac:dyDescent="0.25">
      <c r="A124" s="220" t="s">
        <v>287</v>
      </c>
      <c r="B124" s="212" t="s">
        <v>71</v>
      </c>
      <c r="C124" s="212" t="s">
        <v>289</v>
      </c>
      <c r="D124" s="213">
        <v>48500</v>
      </c>
    </row>
    <row r="125" spans="1:4" x14ac:dyDescent="0.25">
      <c r="A125" s="219" t="s">
        <v>209</v>
      </c>
      <c r="B125" s="201" t="s">
        <v>63</v>
      </c>
      <c r="C125" s="201" t="s">
        <v>65</v>
      </c>
      <c r="D125" s="202">
        <v>48000</v>
      </c>
    </row>
    <row r="126" spans="1:4" x14ac:dyDescent="0.25">
      <c r="A126" s="219" t="s">
        <v>209</v>
      </c>
      <c r="B126" s="201" t="s">
        <v>66</v>
      </c>
      <c r="C126" s="201" t="s">
        <v>68</v>
      </c>
      <c r="D126" s="202">
        <v>46250</v>
      </c>
    </row>
    <row r="127" spans="1:4" x14ac:dyDescent="0.25">
      <c r="A127" s="220" t="s">
        <v>293</v>
      </c>
      <c r="B127" s="210" t="s">
        <v>66</v>
      </c>
      <c r="C127" s="210" t="s">
        <v>297</v>
      </c>
      <c r="D127" s="211">
        <v>45000</v>
      </c>
    </row>
    <row r="128" spans="1:4" x14ac:dyDescent="0.25">
      <c r="A128" s="218" t="s">
        <v>22</v>
      </c>
      <c r="B128" s="201" t="s">
        <v>63</v>
      </c>
      <c r="C128" s="201" t="s">
        <v>326</v>
      </c>
      <c r="D128" s="202">
        <v>45000</v>
      </c>
    </row>
    <row r="129" spans="1:4" x14ac:dyDescent="0.25">
      <c r="A129" s="219" t="s">
        <v>204</v>
      </c>
      <c r="B129" s="201" t="s">
        <v>81</v>
      </c>
      <c r="C129" s="215" t="s">
        <v>102</v>
      </c>
      <c r="D129" s="202">
        <v>45000</v>
      </c>
    </row>
    <row r="130" spans="1:4" x14ac:dyDescent="0.25">
      <c r="A130" s="219" t="s">
        <v>204</v>
      </c>
      <c r="B130" s="201" t="s">
        <v>71</v>
      </c>
      <c r="C130" s="201" t="s">
        <v>88</v>
      </c>
      <c r="D130" s="202">
        <v>45000</v>
      </c>
    </row>
    <row r="131" spans="1:4" x14ac:dyDescent="0.25">
      <c r="A131" s="218" t="s">
        <v>22</v>
      </c>
      <c r="B131" s="201" t="s">
        <v>73</v>
      </c>
      <c r="C131" s="201" t="s">
        <v>79</v>
      </c>
      <c r="D131" s="202">
        <v>45000</v>
      </c>
    </row>
    <row r="132" spans="1:4" x14ac:dyDescent="0.25">
      <c r="A132" s="219" t="s">
        <v>196</v>
      </c>
      <c r="B132" s="201" t="s">
        <v>66</v>
      </c>
      <c r="C132" s="201" t="s">
        <v>113</v>
      </c>
      <c r="D132" s="202">
        <v>44720</v>
      </c>
    </row>
    <row r="133" spans="1:4" x14ac:dyDescent="0.25">
      <c r="A133" s="219" t="s">
        <v>209</v>
      </c>
      <c r="B133" s="201" t="s">
        <v>66</v>
      </c>
      <c r="C133" s="201" t="s">
        <v>97</v>
      </c>
      <c r="D133" s="202">
        <v>44250</v>
      </c>
    </row>
    <row r="134" spans="1:4" x14ac:dyDescent="0.25">
      <c r="A134" s="219" t="s">
        <v>209</v>
      </c>
      <c r="B134" s="201" t="s">
        <v>63</v>
      </c>
      <c r="C134" s="201" t="s">
        <v>326</v>
      </c>
      <c r="D134" s="202">
        <v>42000</v>
      </c>
    </row>
    <row r="135" spans="1:4" x14ac:dyDescent="0.25">
      <c r="A135" s="220" t="s">
        <v>283</v>
      </c>
      <c r="B135" s="223" t="s">
        <v>71</v>
      </c>
      <c r="C135" s="223" t="s">
        <v>89</v>
      </c>
      <c r="D135" s="224">
        <v>42000</v>
      </c>
    </row>
    <row r="136" spans="1:4" x14ac:dyDescent="0.25">
      <c r="A136" s="220" t="s">
        <v>287</v>
      </c>
      <c r="B136" s="212" t="s">
        <v>85</v>
      </c>
      <c r="C136" s="212" t="s">
        <v>289</v>
      </c>
      <c r="D136" s="213">
        <v>41800</v>
      </c>
    </row>
    <row r="137" spans="1:4" x14ac:dyDescent="0.25">
      <c r="A137" s="219" t="s">
        <v>196</v>
      </c>
      <c r="B137" s="203" t="s">
        <v>66</v>
      </c>
      <c r="C137" s="203" t="s">
        <v>78</v>
      </c>
      <c r="D137" s="204">
        <v>40000</v>
      </c>
    </row>
    <row r="138" spans="1:4" x14ac:dyDescent="0.25">
      <c r="A138" s="219" t="s">
        <v>198</v>
      </c>
      <c r="B138" s="215" t="s">
        <v>73</v>
      </c>
      <c r="C138" s="215" t="s">
        <v>151</v>
      </c>
      <c r="D138" s="216">
        <v>40000</v>
      </c>
    </row>
    <row r="139" spans="1:4" x14ac:dyDescent="0.25">
      <c r="A139" s="219" t="s">
        <v>209</v>
      </c>
      <c r="B139" s="201" t="s">
        <v>61</v>
      </c>
      <c r="C139" s="201" t="s">
        <v>62</v>
      </c>
      <c r="D139" s="202">
        <v>40000</v>
      </c>
    </row>
    <row r="140" spans="1:4" x14ac:dyDescent="0.25">
      <c r="A140" s="219" t="s">
        <v>198</v>
      </c>
      <c r="B140" s="215" t="s">
        <v>81</v>
      </c>
      <c r="C140" s="215" t="s">
        <v>62</v>
      </c>
      <c r="D140" s="216">
        <v>40000</v>
      </c>
    </row>
    <row r="141" spans="1:4" x14ac:dyDescent="0.25">
      <c r="A141" s="219" t="s">
        <v>196</v>
      </c>
      <c r="B141" s="201" t="s">
        <v>81</v>
      </c>
      <c r="C141" s="201" t="s">
        <v>62</v>
      </c>
      <c r="D141" s="202">
        <v>40000</v>
      </c>
    </row>
    <row r="142" spans="1:4" x14ac:dyDescent="0.25">
      <c r="A142" s="218" t="s">
        <v>21</v>
      </c>
      <c r="B142" s="201" t="s">
        <v>75</v>
      </c>
      <c r="C142" s="201" t="s">
        <v>103</v>
      </c>
      <c r="D142" s="202">
        <v>40000</v>
      </c>
    </row>
    <row r="143" spans="1:4" x14ac:dyDescent="0.25">
      <c r="A143" s="218" t="s">
        <v>23</v>
      </c>
      <c r="B143" s="201" t="s">
        <v>66</v>
      </c>
      <c r="C143" s="201" t="s">
        <v>127</v>
      </c>
      <c r="D143" s="202">
        <v>40000</v>
      </c>
    </row>
    <row r="144" spans="1:4" x14ac:dyDescent="0.25">
      <c r="A144" s="218" t="s">
        <v>21</v>
      </c>
      <c r="B144" s="201" t="s">
        <v>75</v>
      </c>
      <c r="C144" s="203" t="s">
        <v>99</v>
      </c>
      <c r="D144" s="204">
        <v>40000</v>
      </c>
    </row>
    <row r="145" spans="1:4" x14ac:dyDescent="0.25">
      <c r="A145" s="218" t="s">
        <v>22</v>
      </c>
      <c r="B145" s="201" t="s">
        <v>75</v>
      </c>
      <c r="C145" s="203" t="s">
        <v>99</v>
      </c>
      <c r="D145" s="204">
        <v>40000</v>
      </c>
    </row>
    <row r="146" spans="1:4" x14ac:dyDescent="0.25">
      <c r="A146" s="218" t="s">
        <v>175</v>
      </c>
      <c r="B146" s="201" t="s">
        <v>63</v>
      </c>
      <c r="C146" s="201" t="s">
        <v>161</v>
      </c>
      <c r="D146" s="202">
        <v>40000</v>
      </c>
    </row>
    <row r="147" spans="1:4" x14ac:dyDescent="0.25">
      <c r="A147" s="219" t="s">
        <v>209</v>
      </c>
      <c r="B147" s="201" t="s">
        <v>75</v>
      </c>
      <c r="C147" s="201" t="s">
        <v>147</v>
      </c>
      <c r="D147" s="202">
        <v>39840</v>
      </c>
    </row>
    <row r="148" spans="1:4" x14ac:dyDescent="0.25">
      <c r="A148" s="218" t="s">
        <v>24</v>
      </c>
      <c r="B148" s="201" t="s">
        <v>85</v>
      </c>
      <c r="C148" s="201" t="s">
        <v>123</v>
      </c>
      <c r="D148" s="202">
        <v>39000</v>
      </c>
    </row>
    <row r="149" spans="1:4" x14ac:dyDescent="0.25">
      <c r="A149" s="219" t="s">
        <v>196</v>
      </c>
      <c r="B149" s="201" t="s">
        <v>66</v>
      </c>
      <c r="C149" s="201" t="s">
        <v>114</v>
      </c>
      <c r="D149" s="202">
        <v>39000</v>
      </c>
    </row>
    <row r="150" spans="1:4" x14ac:dyDescent="0.25">
      <c r="A150" s="218" t="s">
        <v>21</v>
      </c>
      <c r="B150" s="201" t="s">
        <v>66</v>
      </c>
      <c r="C150" s="201" t="s">
        <v>114</v>
      </c>
      <c r="D150" s="202">
        <v>39000</v>
      </c>
    </row>
    <row r="151" spans="1:4" x14ac:dyDescent="0.25">
      <c r="A151" s="219" t="s">
        <v>20</v>
      </c>
      <c r="B151" s="201" t="s">
        <v>66</v>
      </c>
      <c r="C151" s="201" t="s">
        <v>146</v>
      </c>
      <c r="D151" s="202">
        <v>39000</v>
      </c>
    </row>
    <row r="152" spans="1:4" x14ac:dyDescent="0.25">
      <c r="A152" s="219" t="s">
        <v>196</v>
      </c>
      <c r="B152" s="201" t="s">
        <v>85</v>
      </c>
      <c r="C152" s="201" t="s">
        <v>78</v>
      </c>
      <c r="D152" s="202">
        <v>38000</v>
      </c>
    </row>
    <row r="153" spans="1:4" x14ac:dyDescent="0.25">
      <c r="A153" s="218" t="s">
        <v>23</v>
      </c>
      <c r="B153" s="203" t="s">
        <v>66</v>
      </c>
      <c r="C153" s="203" t="s">
        <v>130</v>
      </c>
      <c r="D153" s="204">
        <v>37300</v>
      </c>
    </row>
    <row r="154" spans="1:4" x14ac:dyDescent="0.25">
      <c r="A154" s="220" t="s">
        <v>287</v>
      </c>
      <c r="B154" s="212" t="s">
        <v>73</v>
      </c>
      <c r="C154" s="212" t="s">
        <v>332</v>
      </c>
      <c r="D154" s="213">
        <v>37000</v>
      </c>
    </row>
    <row r="155" spans="1:4" x14ac:dyDescent="0.25">
      <c r="A155" s="218" t="s">
        <v>175</v>
      </c>
      <c r="B155" s="201" t="s">
        <v>71</v>
      </c>
      <c r="C155" s="201" t="s">
        <v>166</v>
      </c>
      <c r="D155" s="202">
        <v>37000</v>
      </c>
    </row>
    <row r="156" spans="1:4" x14ac:dyDescent="0.25">
      <c r="A156" s="219" t="s">
        <v>209</v>
      </c>
      <c r="B156" s="201" t="s">
        <v>75</v>
      </c>
      <c r="C156" s="201" t="s">
        <v>77</v>
      </c>
      <c r="D156" s="202">
        <v>36000</v>
      </c>
    </row>
    <row r="157" spans="1:4" x14ac:dyDescent="0.25">
      <c r="A157" s="218" t="s">
        <v>22</v>
      </c>
      <c r="B157" s="201" t="s">
        <v>85</v>
      </c>
      <c r="C157" s="201" t="s">
        <v>122</v>
      </c>
      <c r="D157" s="202">
        <v>35150</v>
      </c>
    </row>
    <row r="158" spans="1:4" x14ac:dyDescent="0.25">
      <c r="A158" s="219" t="s">
        <v>209</v>
      </c>
      <c r="B158" s="201" t="s">
        <v>66</v>
      </c>
      <c r="C158" s="201" t="s">
        <v>67</v>
      </c>
      <c r="D158" s="202">
        <v>35000</v>
      </c>
    </row>
    <row r="159" spans="1:4" x14ac:dyDescent="0.25">
      <c r="A159" s="218" t="s">
        <v>23</v>
      </c>
      <c r="B159" s="201" t="s">
        <v>73</v>
      </c>
      <c r="C159" s="201" t="s">
        <v>129</v>
      </c>
      <c r="D159" s="202">
        <v>35000</v>
      </c>
    </row>
    <row r="160" spans="1:4" x14ac:dyDescent="0.25">
      <c r="A160" s="219" t="s">
        <v>196</v>
      </c>
      <c r="B160" s="201" t="s">
        <v>63</v>
      </c>
      <c r="C160" s="201" t="s">
        <v>105</v>
      </c>
      <c r="D160" s="202">
        <v>34000</v>
      </c>
    </row>
    <row r="161" spans="1:4" x14ac:dyDescent="0.25">
      <c r="A161" s="218" t="s">
        <v>24</v>
      </c>
      <c r="B161" s="203" t="s">
        <v>66</v>
      </c>
      <c r="C161" s="203" t="s">
        <v>130</v>
      </c>
      <c r="D161" s="204">
        <v>33537</v>
      </c>
    </row>
    <row r="162" spans="1:4" x14ac:dyDescent="0.25">
      <c r="A162" s="218" t="s">
        <v>175</v>
      </c>
      <c r="B162" s="203" t="s">
        <v>66</v>
      </c>
      <c r="C162" s="203" t="s">
        <v>302</v>
      </c>
      <c r="D162" s="204">
        <v>33537</v>
      </c>
    </row>
    <row r="163" spans="1:4" x14ac:dyDescent="0.25">
      <c r="A163" s="218" t="s">
        <v>22</v>
      </c>
      <c r="B163" s="206" t="s">
        <v>101</v>
      </c>
      <c r="C163" s="206" t="s">
        <v>123</v>
      </c>
      <c r="D163" s="207">
        <v>33000</v>
      </c>
    </row>
    <row r="164" spans="1:4" x14ac:dyDescent="0.25">
      <c r="A164" s="218" t="s">
        <v>23</v>
      </c>
      <c r="B164" s="206" t="s">
        <v>101</v>
      </c>
      <c r="C164" s="206" t="s">
        <v>123</v>
      </c>
      <c r="D164" s="207">
        <v>33000</v>
      </c>
    </row>
    <row r="165" spans="1:4" x14ac:dyDescent="0.25">
      <c r="A165" s="218" t="s">
        <v>24</v>
      </c>
      <c r="B165" s="206" t="s">
        <v>101</v>
      </c>
      <c r="C165" s="206" t="s">
        <v>123</v>
      </c>
      <c r="D165" s="207">
        <v>33000</v>
      </c>
    </row>
    <row r="166" spans="1:4" x14ac:dyDescent="0.25">
      <c r="A166" s="220" t="s">
        <v>283</v>
      </c>
      <c r="B166" s="212" t="s">
        <v>66</v>
      </c>
      <c r="C166" s="212" t="s">
        <v>284</v>
      </c>
      <c r="D166" s="213">
        <v>32000</v>
      </c>
    </row>
    <row r="167" spans="1:4" x14ac:dyDescent="0.25">
      <c r="A167" s="220" t="s">
        <v>287</v>
      </c>
      <c r="B167" s="212" t="s">
        <v>71</v>
      </c>
      <c r="C167" s="212" t="s">
        <v>288</v>
      </c>
      <c r="D167" s="213">
        <v>32000</v>
      </c>
    </row>
    <row r="168" spans="1:4" x14ac:dyDescent="0.25">
      <c r="A168" s="220" t="s">
        <v>283</v>
      </c>
      <c r="B168" s="223" t="s">
        <v>71</v>
      </c>
      <c r="C168" s="223" t="s">
        <v>147</v>
      </c>
      <c r="D168" s="224">
        <v>32000</v>
      </c>
    </row>
    <row r="169" spans="1:4" x14ac:dyDescent="0.25">
      <c r="A169" s="219" t="s">
        <v>204</v>
      </c>
      <c r="B169" s="203" t="s">
        <v>71</v>
      </c>
      <c r="C169" s="203" t="s">
        <v>147</v>
      </c>
      <c r="D169" s="204">
        <v>32000</v>
      </c>
    </row>
    <row r="170" spans="1:4" x14ac:dyDescent="0.25">
      <c r="A170" s="219" t="s">
        <v>198</v>
      </c>
      <c r="B170" s="215" t="s">
        <v>63</v>
      </c>
      <c r="C170" s="215" t="s">
        <v>147</v>
      </c>
      <c r="D170" s="216">
        <v>31000</v>
      </c>
    </row>
    <row r="171" spans="1:4" x14ac:dyDescent="0.25">
      <c r="A171" s="220" t="s">
        <v>287</v>
      </c>
      <c r="B171" s="212" t="s">
        <v>75</v>
      </c>
      <c r="C171" s="212" t="s">
        <v>87</v>
      </c>
      <c r="D171" s="213">
        <v>30000</v>
      </c>
    </row>
    <row r="172" spans="1:4" x14ac:dyDescent="0.25">
      <c r="A172" s="221" t="s">
        <v>209</v>
      </c>
      <c r="B172" s="203" t="s">
        <v>73</v>
      </c>
      <c r="C172" s="203" t="s">
        <v>74</v>
      </c>
      <c r="D172" s="204">
        <v>30000</v>
      </c>
    </row>
    <row r="173" spans="1:4" x14ac:dyDescent="0.25">
      <c r="A173" s="221" t="s">
        <v>198</v>
      </c>
      <c r="B173" s="203" t="s">
        <v>73</v>
      </c>
      <c r="C173" s="203" t="s">
        <v>74</v>
      </c>
      <c r="D173" s="204">
        <v>30000</v>
      </c>
    </row>
    <row r="174" spans="1:4" x14ac:dyDescent="0.25">
      <c r="A174" s="219" t="s">
        <v>196</v>
      </c>
      <c r="B174" s="201" t="s">
        <v>66</v>
      </c>
      <c r="C174" s="201" t="s">
        <v>111</v>
      </c>
      <c r="D174" s="202">
        <v>30000</v>
      </c>
    </row>
    <row r="175" spans="1:4" x14ac:dyDescent="0.25">
      <c r="A175" s="220" t="s">
        <v>283</v>
      </c>
      <c r="B175" s="212" t="s">
        <v>81</v>
      </c>
      <c r="C175" s="215" t="s">
        <v>102</v>
      </c>
      <c r="D175" s="213">
        <v>30000</v>
      </c>
    </row>
    <row r="176" spans="1:4" x14ac:dyDescent="0.25">
      <c r="A176" s="219" t="s">
        <v>196</v>
      </c>
      <c r="B176" s="203" t="s">
        <v>75</v>
      </c>
      <c r="C176" s="203" t="s">
        <v>116</v>
      </c>
      <c r="D176" s="204">
        <v>30000</v>
      </c>
    </row>
    <row r="177" spans="1:4" x14ac:dyDescent="0.25">
      <c r="A177" s="219" t="s">
        <v>20</v>
      </c>
      <c r="B177" s="203" t="s">
        <v>75</v>
      </c>
      <c r="C177" s="203" t="s">
        <v>116</v>
      </c>
      <c r="D177" s="204">
        <v>30000</v>
      </c>
    </row>
    <row r="178" spans="1:4" x14ac:dyDescent="0.25">
      <c r="A178" s="219" t="s">
        <v>204</v>
      </c>
      <c r="B178" s="203" t="s">
        <v>71</v>
      </c>
      <c r="C178" s="203" t="s">
        <v>89</v>
      </c>
      <c r="D178" s="204">
        <v>30000</v>
      </c>
    </row>
    <row r="179" spans="1:4" x14ac:dyDescent="0.25">
      <c r="A179" s="218" t="s">
        <v>24</v>
      </c>
      <c r="B179" s="201" t="s">
        <v>75</v>
      </c>
      <c r="C179" s="201" t="s">
        <v>134</v>
      </c>
      <c r="D179" s="202">
        <v>28600</v>
      </c>
    </row>
    <row r="180" spans="1:4" x14ac:dyDescent="0.25">
      <c r="A180" s="218" t="s">
        <v>21</v>
      </c>
      <c r="B180" s="201" t="s">
        <v>101</v>
      </c>
      <c r="C180" s="201" t="s">
        <v>100</v>
      </c>
      <c r="D180" s="202">
        <v>28500</v>
      </c>
    </row>
    <row r="181" spans="1:4" x14ac:dyDescent="0.25">
      <c r="A181" s="218" t="s">
        <v>0</v>
      </c>
      <c r="B181" s="201" t="s">
        <v>66</v>
      </c>
      <c r="C181" s="201" t="s">
        <v>153</v>
      </c>
      <c r="D181" s="202">
        <v>28091</v>
      </c>
    </row>
    <row r="182" spans="1:4" x14ac:dyDescent="0.25">
      <c r="A182" s="218" t="s">
        <v>0</v>
      </c>
      <c r="B182" s="201" t="s">
        <v>66</v>
      </c>
      <c r="C182" s="201" t="s">
        <v>157</v>
      </c>
      <c r="D182" s="202">
        <v>28000</v>
      </c>
    </row>
    <row r="183" spans="1:4" x14ac:dyDescent="0.25">
      <c r="A183" s="218" t="s">
        <v>0</v>
      </c>
      <c r="B183" s="201" t="s">
        <v>75</v>
      </c>
      <c r="C183" s="201" t="s">
        <v>156</v>
      </c>
      <c r="D183" s="202">
        <v>28000</v>
      </c>
    </row>
    <row r="184" spans="1:4" x14ac:dyDescent="0.25">
      <c r="A184" s="219" t="s">
        <v>198</v>
      </c>
      <c r="B184" s="215" t="s">
        <v>73</v>
      </c>
      <c r="C184" s="215" t="s">
        <v>147</v>
      </c>
      <c r="D184" s="216">
        <v>28000</v>
      </c>
    </row>
    <row r="185" spans="1:4" x14ac:dyDescent="0.25">
      <c r="A185" s="219" t="s">
        <v>198</v>
      </c>
      <c r="B185" s="215" t="s">
        <v>63</v>
      </c>
      <c r="C185" s="215" t="s">
        <v>148</v>
      </c>
      <c r="D185" s="216">
        <v>26000</v>
      </c>
    </row>
    <row r="186" spans="1:4" x14ac:dyDescent="0.25">
      <c r="A186" s="219" t="s">
        <v>209</v>
      </c>
      <c r="B186" s="201" t="s">
        <v>66</v>
      </c>
      <c r="C186" s="201" t="s">
        <v>70</v>
      </c>
      <c r="D186" s="202">
        <v>25047</v>
      </c>
    </row>
    <row r="187" spans="1:4" x14ac:dyDescent="0.25">
      <c r="A187" s="218" t="s">
        <v>21</v>
      </c>
      <c r="B187" s="201" t="s">
        <v>73</v>
      </c>
      <c r="C187" s="201" t="s">
        <v>100</v>
      </c>
      <c r="D187" s="202">
        <v>25000</v>
      </c>
    </row>
    <row r="188" spans="1:4" x14ac:dyDescent="0.25">
      <c r="A188" s="219" t="s">
        <v>204</v>
      </c>
      <c r="B188" s="227" t="s">
        <v>66</v>
      </c>
      <c r="C188" s="227" t="s">
        <v>84</v>
      </c>
      <c r="D188" s="228">
        <v>25000</v>
      </c>
    </row>
    <row r="189" spans="1:4" x14ac:dyDescent="0.25">
      <c r="A189" s="220" t="s">
        <v>287</v>
      </c>
      <c r="B189" s="232" t="s">
        <v>75</v>
      </c>
      <c r="C189" s="232" t="s">
        <v>84</v>
      </c>
      <c r="D189" s="234">
        <v>25000</v>
      </c>
    </row>
    <row r="190" spans="1:4" x14ac:dyDescent="0.25">
      <c r="A190" s="219" t="s">
        <v>209</v>
      </c>
      <c r="B190" s="227" t="s">
        <v>81</v>
      </c>
      <c r="C190" s="227" t="s">
        <v>301</v>
      </c>
      <c r="D190" s="228">
        <v>25000</v>
      </c>
    </row>
    <row r="191" spans="1:4" x14ac:dyDescent="0.25">
      <c r="A191" s="219" t="s">
        <v>198</v>
      </c>
      <c r="B191" s="229" t="s">
        <v>81</v>
      </c>
      <c r="C191" s="229" t="s">
        <v>102</v>
      </c>
      <c r="D191" s="230">
        <v>25000</v>
      </c>
    </row>
    <row r="192" spans="1:4" x14ac:dyDescent="0.25">
      <c r="A192" s="219" t="s">
        <v>196</v>
      </c>
      <c r="B192" s="227" t="s">
        <v>81</v>
      </c>
      <c r="C192" s="227" t="s">
        <v>102</v>
      </c>
      <c r="D192" s="228">
        <v>25000</v>
      </c>
    </row>
    <row r="193" spans="1:4" x14ac:dyDescent="0.25">
      <c r="A193" s="219" t="s">
        <v>20</v>
      </c>
      <c r="B193" s="201" t="s">
        <v>81</v>
      </c>
      <c r="C193" s="201" t="s">
        <v>102</v>
      </c>
      <c r="D193" s="202">
        <v>25000</v>
      </c>
    </row>
    <row r="194" spans="1:4" x14ac:dyDescent="0.25">
      <c r="A194" s="219" t="s">
        <v>198</v>
      </c>
      <c r="B194" s="222" t="s">
        <v>101</v>
      </c>
      <c r="C194" s="222" t="s">
        <v>152</v>
      </c>
      <c r="D194" s="225">
        <v>25000</v>
      </c>
    </row>
    <row r="195" spans="1:4" x14ac:dyDescent="0.25">
      <c r="A195" s="219" t="s">
        <v>196</v>
      </c>
      <c r="B195" s="201" t="s">
        <v>81</v>
      </c>
      <c r="C195" s="201" t="s">
        <v>106</v>
      </c>
      <c r="D195" s="202">
        <v>25000</v>
      </c>
    </row>
    <row r="196" spans="1:4" x14ac:dyDescent="0.25">
      <c r="A196" s="218" t="s">
        <v>22</v>
      </c>
      <c r="B196" s="201" t="s">
        <v>81</v>
      </c>
      <c r="C196" s="201" t="s">
        <v>106</v>
      </c>
      <c r="D196" s="202">
        <v>25000</v>
      </c>
    </row>
    <row r="197" spans="1:4" x14ac:dyDescent="0.25">
      <c r="A197" s="219" t="s">
        <v>196</v>
      </c>
      <c r="B197" s="201" t="s">
        <v>63</v>
      </c>
      <c r="C197" s="201" t="s">
        <v>107</v>
      </c>
      <c r="D197" s="202">
        <v>25000</v>
      </c>
    </row>
    <row r="198" spans="1:4" x14ac:dyDescent="0.25">
      <c r="A198" s="220" t="s">
        <v>283</v>
      </c>
      <c r="B198" s="212" t="s">
        <v>75</v>
      </c>
      <c r="C198" s="212" t="s">
        <v>285</v>
      </c>
      <c r="D198" s="213">
        <v>24500</v>
      </c>
    </row>
    <row r="199" spans="1:4" x14ac:dyDescent="0.25">
      <c r="A199" s="220" t="s">
        <v>291</v>
      </c>
      <c r="B199" s="212" t="s">
        <v>71</v>
      </c>
      <c r="C199" s="212" t="s">
        <v>206</v>
      </c>
      <c r="D199" s="213">
        <v>23500</v>
      </c>
    </row>
    <row r="200" spans="1:4" x14ac:dyDescent="0.25">
      <c r="A200" s="218" t="s">
        <v>23</v>
      </c>
      <c r="B200" s="201" t="s">
        <v>66</v>
      </c>
      <c r="C200" s="201" t="s">
        <v>125</v>
      </c>
      <c r="D200" s="202">
        <v>22000</v>
      </c>
    </row>
    <row r="201" spans="1:4" x14ac:dyDescent="0.25">
      <c r="A201" s="219" t="s">
        <v>196</v>
      </c>
      <c r="B201" s="233" t="s">
        <v>66</v>
      </c>
      <c r="C201" s="233" t="s">
        <v>109</v>
      </c>
      <c r="D201" s="235">
        <v>20000</v>
      </c>
    </row>
    <row r="202" spans="1:4" x14ac:dyDescent="0.25">
      <c r="A202" s="22"/>
      <c r="B202" s="20"/>
      <c r="C202" s="20"/>
      <c r="D202" s="20"/>
    </row>
  </sheetData>
  <sheetProtection algorithmName="SHA-512" hashValue="nzc/bGyU5ZkEm2EmrU1itlNvNeTqkvG9fYxvPhPSAvFoF6KLTrf9HunvPh6o5G6WU+XnAYHGq5s1KdKvc25t/Q==" saltValue="LZ3LwC97Cs0+N1eRNOo5rg==" spinCount="100000" sheet="1" objects="1" scenarios="1" selectLockedCells="1" sort="0" autoFilter="0" selectUnlockedCells="1"/>
  <mergeCells count="1">
    <mergeCell ref="A1:D1"/>
  </mergeCells>
  <pageMargins left="0.7" right="0.7" top="0.75" bottom="0.75" header="0.3" footer="0.3"/>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3"/>
  <sheetViews>
    <sheetView topLeftCell="A49" zoomScale="85" zoomScaleNormal="85" workbookViewId="0">
      <selection activeCell="B74" sqref="B74"/>
    </sheetView>
  </sheetViews>
  <sheetFormatPr defaultRowHeight="15" x14ac:dyDescent="0.25"/>
  <cols>
    <col min="2" max="2" width="56.85546875" customWidth="1"/>
    <col min="3" max="3" width="18" customWidth="1"/>
    <col min="4" max="5" width="15.28515625" customWidth="1"/>
    <col min="6" max="6" width="15.28515625" style="29" customWidth="1"/>
    <col min="7" max="7" width="34.5703125" customWidth="1"/>
    <col min="8" max="8" width="42.42578125" customWidth="1"/>
  </cols>
  <sheetData>
    <row r="1" spans="1:8" x14ac:dyDescent="0.25">
      <c r="B1" s="7" t="s">
        <v>226</v>
      </c>
      <c r="C1" t="s">
        <v>231</v>
      </c>
      <c r="D1" s="42" t="s">
        <v>252</v>
      </c>
      <c r="E1" t="s">
        <v>232</v>
      </c>
      <c r="F1" s="24" t="s">
        <v>240</v>
      </c>
      <c r="G1" t="s">
        <v>316</v>
      </c>
      <c r="H1" s="7" t="s">
        <v>199</v>
      </c>
    </row>
    <row r="2" spans="1:8" x14ac:dyDescent="0.25">
      <c r="A2" s="23" t="s">
        <v>175</v>
      </c>
      <c r="B2" s="23" t="s">
        <v>131</v>
      </c>
      <c r="C2" s="27">
        <v>50000</v>
      </c>
      <c r="D2" s="27"/>
      <c r="E2" s="27"/>
      <c r="F2" s="30">
        <f>SUM(C2:E2)</f>
        <v>50000</v>
      </c>
      <c r="G2" s="23" t="s">
        <v>176</v>
      </c>
      <c r="H2" s="27">
        <f>SUM(F2:F14)</f>
        <v>352639</v>
      </c>
    </row>
    <row r="3" spans="1:8" x14ac:dyDescent="0.25">
      <c r="B3" t="s">
        <v>177</v>
      </c>
      <c r="C3" s="9">
        <v>21635</v>
      </c>
      <c r="D3" s="9"/>
      <c r="E3" s="9"/>
      <c r="F3" s="30">
        <f t="shared" ref="F3:F61" si="0">SUM(C3:E3)</f>
        <v>21635</v>
      </c>
      <c r="G3" t="s">
        <v>176</v>
      </c>
    </row>
    <row r="4" spans="1:8" x14ac:dyDescent="0.25">
      <c r="B4" t="s">
        <v>178</v>
      </c>
      <c r="C4" s="9">
        <v>14900</v>
      </c>
      <c r="D4" s="9"/>
      <c r="E4" s="9"/>
      <c r="F4" s="30">
        <f t="shared" si="0"/>
        <v>14900</v>
      </c>
      <c r="G4" t="s">
        <v>176</v>
      </c>
    </row>
    <row r="5" spans="1:8" x14ac:dyDescent="0.25">
      <c r="B5" t="s">
        <v>179</v>
      </c>
      <c r="C5" s="9">
        <v>25000</v>
      </c>
      <c r="D5" s="9"/>
      <c r="E5" s="9"/>
      <c r="F5" s="30">
        <f t="shared" si="0"/>
        <v>25000</v>
      </c>
      <c r="G5" t="s">
        <v>176</v>
      </c>
    </row>
    <row r="6" spans="1:8" x14ac:dyDescent="0.25">
      <c r="B6" t="s">
        <v>180</v>
      </c>
      <c r="C6" s="9">
        <v>25500</v>
      </c>
      <c r="D6" s="9"/>
      <c r="E6" s="9"/>
      <c r="F6" s="30">
        <f t="shared" si="0"/>
        <v>25500</v>
      </c>
      <c r="G6" t="s">
        <v>176</v>
      </c>
    </row>
    <row r="7" spans="1:8" x14ac:dyDescent="0.25">
      <c r="B7" t="s">
        <v>181</v>
      </c>
      <c r="C7" s="9">
        <v>35000</v>
      </c>
      <c r="D7" s="9"/>
      <c r="E7" s="9"/>
      <c r="F7" s="30">
        <f t="shared" si="0"/>
        <v>35000</v>
      </c>
      <c r="G7" t="s">
        <v>176</v>
      </c>
    </row>
    <row r="8" spans="1:8" x14ac:dyDescent="0.25">
      <c r="B8" t="s">
        <v>182</v>
      </c>
      <c r="C8" s="9">
        <v>80217</v>
      </c>
      <c r="D8" s="9"/>
      <c r="E8" s="9"/>
      <c r="F8" s="30">
        <f t="shared" si="0"/>
        <v>80217</v>
      </c>
      <c r="G8" t="s">
        <v>176</v>
      </c>
    </row>
    <row r="9" spans="1:8" x14ac:dyDescent="0.25">
      <c r="B9" t="s">
        <v>183</v>
      </c>
      <c r="C9" s="9">
        <v>15000</v>
      </c>
      <c r="D9" s="9"/>
      <c r="E9" s="9"/>
      <c r="F9" s="30">
        <f t="shared" si="0"/>
        <v>15000</v>
      </c>
      <c r="G9" t="s">
        <v>176</v>
      </c>
    </row>
    <row r="10" spans="1:8" x14ac:dyDescent="0.25">
      <c r="B10" t="s">
        <v>184</v>
      </c>
      <c r="C10" s="9">
        <v>5000</v>
      </c>
      <c r="D10" s="9"/>
      <c r="E10" s="9"/>
      <c r="F10" s="30">
        <f t="shared" si="0"/>
        <v>5000</v>
      </c>
      <c r="G10" t="s">
        <v>176</v>
      </c>
    </row>
    <row r="11" spans="1:8" x14ac:dyDescent="0.25">
      <c r="B11" t="s">
        <v>185</v>
      </c>
      <c r="C11" s="9">
        <v>10200</v>
      </c>
      <c r="D11" s="9"/>
      <c r="E11" s="9"/>
      <c r="F11" s="30">
        <f t="shared" si="0"/>
        <v>10200</v>
      </c>
      <c r="G11" t="s">
        <v>176</v>
      </c>
    </row>
    <row r="12" spans="1:8" x14ac:dyDescent="0.25">
      <c r="B12" t="s">
        <v>186</v>
      </c>
      <c r="C12" s="9">
        <v>24187</v>
      </c>
      <c r="D12" s="9"/>
      <c r="E12" s="9"/>
      <c r="F12" s="30">
        <f t="shared" si="0"/>
        <v>24187</v>
      </c>
      <c r="G12" t="s">
        <v>176</v>
      </c>
    </row>
    <row r="13" spans="1:8" x14ac:dyDescent="0.25">
      <c r="B13" t="s">
        <v>187</v>
      </c>
      <c r="C13" s="9">
        <v>40000</v>
      </c>
      <c r="D13" s="9"/>
      <c r="E13" s="9"/>
      <c r="F13" s="30">
        <f t="shared" si="0"/>
        <v>40000</v>
      </c>
      <c r="G13" t="s">
        <v>176</v>
      </c>
    </row>
    <row r="14" spans="1:8" x14ac:dyDescent="0.25">
      <c r="A14" s="24"/>
      <c r="B14" s="24" t="s">
        <v>188</v>
      </c>
      <c r="C14" s="26">
        <v>6000</v>
      </c>
      <c r="D14" s="26"/>
      <c r="E14" s="26"/>
      <c r="F14" s="26">
        <f t="shared" si="0"/>
        <v>6000</v>
      </c>
      <c r="G14" s="24" t="s">
        <v>176</v>
      </c>
      <c r="H14" s="24"/>
    </row>
    <row r="15" spans="1:8" x14ac:dyDescent="0.25">
      <c r="A15" s="31" t="s">
        <v>0</v>
      </c>
      <c r="B15" s="31" t="s">
        <v>219</v>
      </c>
      <c r="C15" s="32">
        <v>81985</v>
      </c>
      <c r="D15" s="32"/>
      <c r="E15" s="32"/>
      <c r="F15" s="30">
        <f t="shared" si="0"/>
        <v>81985</v>
      </c>
      <c r="G15" s="29" t="s">
        <v>176</v>
      </c>
      <c r="H15" s="32">
        <f>SUM(F15:F23)</f>
        <v>2959754</v>
      </c>
    </row>
    <row r="16" spans="1:8" x14ac:dyDescent="0.25">
      <c r="A16" s="31"/>
      <c r="B16" s="31" t="s">
        <v>220</v>
      </c>
      <c r="C16" s="32">
        <v>90000</v>
      </c>
      <c r="D16" s="32"/>
      <c r="E16" s="32"/>
      <c r="F16" s="30">
        <f t="shared" si="0"/>
        <v>90000</v>
      </c>
      <c r="G16" s="29" t="s">
        <v>176</v>
      </c>
      <c r="H16" s="31"/>
    </row>
    <row r="17" spans="1:8" x14ac:dyDescent="0.25">
      <c r="A17" s="31"/>
      <c r="B17" s="31" t="s">
        <v>221</v>
      </c>
      <c r="C17" s="32">
        <v>24000</v>
      </c>
      <c r="D17" s="32"/>
      <c r="E17" s="32"/>
      <c r="F17" s="30">
        <f t="shared" si="0"/>
        <v>24000</v>
      </c>
      <c r="G17" s="29" t="s">
        <v>176</v>
      </c>
      <c r="H17" s="31"/>
    </row>
    <row r="18" spans="1:8" x14ac:dyDescent="0.25">
      <c r="A18" s="31"/>
      <c r="B18" s="31" t="s">
        <v>222</v>
      </c>
      <c r="C18" s="32">
        <v>750000</v>
      </c>
      <c r="D18" s="32"/>
      <c r="E18" s="32"/>
      <c r="F18" s="30">
        <f t="shared" si="0"/>
        <v>750000</v>
      </c>
      <c r="G18" s="29" t="s">
        <v>176</v>
      </c>
      <c r="H18" s="31"/>
    </row>
    <row r="19" spans="1:8" x14ac:dyDescent="0.25">
      <c r="A19" s="31"/>
      <c r="B19" s="31" t="s">
        <v>223</v>
      </c>
      <c r="C19" s="32">
        <v>113900</v>
      </c>
      <c r="D19" s="32"/>
      <c r="E19" s="32"/>
      <c r="F19" s="30">
        <f t="shared" si="0"/>
        <v>113900</v>
      </c>
      <c r="G19" s="29" t="s">
        <v>176</v>
      </c>
      <c r="H19" s="31"/>
    </row>
    <row r="20" spans="1:8" x14ac:dyDescent="0.25">
      <c r="A20" s="31"/>
      <c r="B20" s="31" t="s">
        <v>224</v>
      </c>
      <c r="C20" s="32">
        <v>25500</v>
      </c>
      <c r="D20" s="32"/>
      <c r="E20" s="32"/>
      <c r="F20" s="30">
        <f t="shared" si="0"/>
        <v>25500</v>
      </c>
      <c r="G20" s="29" t="s">
        <v>176</v>
      </c>
      <c r="H20" s="31"/>
    </row>
    <row r="21" spans="1:8" x14ac:dyDescent="0.25">
      <c r="A21" s="31"/>
      <c r="B21" s="31" t="s">
        <v>131</v>
      </c>
      <c r="C21" s="32">
        <v>50000</v>
      </c>
      <c r="D21" s="32"/>
      <c r="E21" s="32"/>
      <c r="F21" s="30">
        <f t="shared" si="0"/>
        <v>50000</v>
      </c>
      <c r="G21" s="29" t="s">
        <v>176</v>
      </c>
      <c r="H21" s="31"/>
    </row>
    <row r="22" spans="1:8" x14ac:dyDescent="0.25">
      <c r="A22" s="38"/>
      <c r="B22" s="38" t="s">
        <v>229</v>
      </c>
      <c r="C22" s="39">
        <v>0</v>
      </c>
      <c r="D22" s="39">
        <v>1807457</v>
      </c>
      <c r="E22" s="39"/>
      <c r="F22" s="45">
        <f t="shared" si="0"/>
        <v>1807457</v>
      </c>
      <c r="G22" s="38" t="s">
        <v>247</v>
      </c>
    </row>
    <row r="23" spans="1:8" x14ac:dyDescent="0.25">
      <c r="A23" s="34"/>
      <c r="B23" s="34" t="s">
        <v>225</v>
      </c>
      <c r="C23" s="35">
        <v>16912</v>
      </c>
      <c r="D23" s="35"/>
      <c r="E23" s="35"/>
      <c r="F23" s="26">
        <f t="shared" si="0"/>
        <v>16912</v>
      </c>
      <c r="G23" s="24" t="s">
        <v>176</v>
      </c>
      <c r="H23" s="34"/>
    </row>
    <row r="24" spans="1:8" x14ac:dyDescent="0.25">
      <c r="A24" t="s">
        <v>24</v>
      </c>
      <c r="B24" t="s">
        <v>131</v>
      </c>
      <c r="C24" s="9">
        <v>50571</v>
      </c>
      <c r="D24" s="9"/>
      <c r="E24" s="9"/>
      <c r="F24" s="30">
        <f t="shared" si="0"/>
        <v>50571</v>
      </c>
      <c r="G24" t="s">
        <v>176</v>
      </c>
      <c r="H24" s="9">
        <f>SUM(F24:F28)</f>
        <v>281571</v>
      </c>
    </row>
    <row r="25" spans="1:8" x14ac:dyDescent="0.25">
      <c r="A25" s="38"/>
      <c r="B25" s="38" t="s">
        <v>251</v>
      </c>
      <c r="C25" s="39">
        <v>172000</v>
      </c>
      <c r="D25" s="39"/>
      <c r="E25" s="39"/>
      <c r="F25" s="45">
        <f t="shared" si="0"/>
        <v>172000</v>
      </c>
      <c r="G25" s="38" t="s">
        <v>176</v>
      </c>
    </row>
    <row r="26" spans="1:8" x14ac:dyDescent="0.25">
      <c r="B26" t="s">
        <v>191</v>
      </c>
      <c r="C26" s="9">
        <v>5000</v>
      </c>
      <c r="D26" s="9"/>
      <c r="E26" s="9"/>
      <c r="F26" s="30">
        <f t="shared" si="0"/>
        <v>5000</v>
      </c>
      <c r="G26" t="s">
        <v>176</v>
      </c>
    </row>
    <row r="27" spans="1:8" x14ac:dyDescent="0.25">
      <c r="B27" t="s">
        <v>192</v>
      </c>
      <c r="C27" s="9">
        <v>14000</v>
      </c>
      <c r="D27" s="9"/>
      <c r="E27" s="9"/>
      <c r="F27" s="30">
        <f t="shared" si="0"/>
        <v>14000</v>
      </c>
      <c r="G27" t="s">
        <v>176</v>
      </c>
    </row>
    <row r="28" spans="1:8" x14ac:dyDescent="0.25">
      <c r="A28" s="29"/>
      <c r="B28" s="29" t="s">
        <v>193</v>
      </c>
      <c r="C28" s="30">
        <v>40000</v>
      </c>
      <c r="D28" s="30"/>
      <c r="E28" s="30"/>
      <c r="F28" s="26">
        <f t="shared" si="0"/>
        <v>40000</v>
      </c>
      <c r="G28" s="29" t="s">
        <v>176</v>
      </c>
      <c r="H28" s="29"/>
    </row>
    <row r="29" spans="1:8" x14ac:dyDescent="0.25">
      <c r="A29" s="33" t="s">
        <v>23</v>
      </c>
      <c r="B29" s="33" t="s">
        <v>193</v>
      </c>
      <c r="C29" s="27">
        <v>105000</v>
      </c>
      <c r="D29" s="27"/>
      <c r="E29" s="27"/>
      <c r="F29" s="30">
        <f t="shared" si="0"/>
        <v>105000</v>
      </c>
      <c r="G29" s="23" t="s">
        <v>176</v>
      </c>
      <c r="H29" s="27">
        <f>SUM(F29:F33)</f>
        <v>835534</v>
      </c>
    </row>
    <row r="30" spans="1:8" ht="13.15" customHeight="1" x14ac:dyDescent="0.25">
      <c r="A30" s="38"/>
      <c r="B30" s="38" t="s">
        <v>251</v>
      </c>
      <c r="C30" s="39">
        <v>667614</v>
      </c>
      <c r="D30" s="39"/>
      <c r="E30" s="39"/>
      <c r="F30" s="45">
        <f t="shared" si="0"/>
        <v>667614</v>
      </c>
      <c r="G30" s="38" t="s">
        <v>176</v>
      </c>
    </row>
    <row r="31" spans="1:8" x14ac:dyDescent="0.25">
      <c r="A31" s="31"/>
      <c r="B31" s="31" t="s">
        <v>216</v>
      </c>
      <c r="C31" s="32">
        <v>32000</v>
      </c>
      <c r="D31" s="32"/>
      <c r="E31" s="32"/>
      <c r="F31" s="30">
        <f t="shared" si="0"/>
        <v>32000</v>
      </c>
      <c r="G31" s="31" t="s">
        <v>176</v>
      </c>
      <c r="H31" s="31"/>
    </row>
    <row r="32" spans="1:8" x14ac:dyDescent="0.25">
      <c r="A32" s="31"/>
      <c r="B32" s="31" t="s">
        <v>217</v>
      </c>
      <c r="C32" s="32">
        <v>25920</v>
      </c>
      <c r="D32" s="32"/>
      <c r="E32" s="32"/>
      <c r="F32" s="30">
        <f t="shared" si="0"/>
        <v>25920</v>
      </c>
      <c r="G32" s="31" t="s">
        <v>176</v>
      </c>
      <c r="H32" s="31"/>
    </row>
    <row r="33" spans="1:8" x14ac:dyDescent="0.25">
      <c r="A33" s="34"/>
      <c r="B33" s="34" t="s">
        <v>218</v>
      </c>
      <c r="C33" s="35">
        <v>5000</v>
      </c>
      <c r="D33" s="35"/>
      <c r="E33" s="35"/>
      <c r="F33" s="26">
        <f t="shared" si="0"/>
        <v>5000</v>
      </c>
      <c r="G33" s="34" t="s">
        <v>176</v>
      </c>
      <c r="H33" s="34"/>
    </row>
    <row r="34" spans="1:8" x14ac:dyDescent="0.25">
      <c r="A34" t="s">
        <v>22</v>
      </c>
      <c r="B34" t="s">
        <v>131</v>
      </c>
      <c r="C34" s="9">
        <v>11475</v>
      </c>
      <c r="D34" s="9"/>
      <c r="E34" s="9"/>
      <c r="F34" s="30">
        <f t="shared" si="0"/>
        <v>11475</v>
      </c>
      <c r="G34" t="s">
        <v>176</v>
      </c>
      <c r="H34" s="9">
        <f>SUM(F34:F38)</f>
        <v>958415</v>
      </c>
    </row>
    <row r="35" spans="1:8" x14ac:dyDescent="0.25">
      <c r="A35" s="38"/>
      <c r="B35" s="38" t="s">
        <v>227</v>
      </c>
      <c r="C35" s="39">
        <v>218703</v>
      </c>
      <c r="D35" s="39"/>
      <c r="E35" s="39"/>
      <c r="F35" s="45">
        <f t="shared" si="0"/>
        <v>218703</v>
      </c>
      <c r="G35" s="38" t="s">
        <v>233</v>
      </c>
    </row>
    <row r="36" spans="1:8" x14ac:dyDescent="0.25">
      <c r="A36" s="38"/>
      <c r="B36" s="40" t="s">
        <v>250</v>
      </c>
      <c r="C36" s="39">
        <v>1009994</v>
      </c>
      <c r="D36" s="39"/>
      <c r="E36" s="39">
        <v>-323757</v>
      </c>
      <c r="F36" s="45">
        <f t="shared" si="0"/>
        <v>686237</v>
      </c>
      <c r="G36" s="38" t="s">
        <v>299</v>
      </c>
    </row>
    <row r="37" spans="1:8" x14ac:dyDescent="0.25">
      <c r="B37" t="s">
        <v>193</v>
      </c>
      <c r="C37" s="9">
        <v>20000</v>
      </c>
      <c r="D37" s="9"/>
      <c r="E37" s="9"/>
      <c r="F37" s="30">
        <f t="shared" si="0"/>
        <v>20000</v>
      </c>
      <c r="G37" t="s">
        <v>176</v>
      </c>
    </row>
    <row r="38" spans="1:8" x14ac:dyDescent="0.25">
      <c r="B38" t="s">
        <v>194</v>
      </c>
      <c r="C38" s="9">
        <v>22000</v>
      </c>
      <c r="D38" s="9"/>
      <c r="E38" s="9"/>
      <c r="F38" s="26">
        <f t="shared" si="0"/>
        <v>22000</v>
      </c>
      <c r="G38" t="s">
        <v>176</v>
      </c>
    </row>
    <row r="39" spans="1:8" x14ac:dyDescent="0.25">
      <c r="A39" s="36" t="s">
        <v>21</v>
      </c>
      <c r="B39" s="36" t="s">
        <v>244</v>
      </c>
      <c r="C39" s="37">
        <v>0</v>
      </c>
      <c r="D39" s="37"/>
      <c r="E39" s="37"/>
      <c r="F39" s="47">
        <f t="shared" si="0"/>
        <v>0</v>
      </c>
      <c r="G39" s="36"/>
      <c r="H39" s="36"/>
    </row>
    <row r="40" spans="1:8" x14ac:dyDescent="0.25">
      <c r="A40" s="23" t="s">
        <v>20</v>
      </c>
      <c r="B40" s="23" t="s">
        <v>131</v>
      </c>
      <c r="C40" s="27">
        <v>17000</v>
      </c>
      <c r="D40" s="27"/>
      <c r="E40" s="27"/>
      <c r="F40" s="30">
        <f t="shared" si="0"/>
        <v>17000</v>
      </c>
      <c r="G40" s="23" t="s">
        <v>176</v>
      </c>
      <c r="H40" s="27">
        <f>SUM(F40:F41)</f>
        <v>32000</v>
      </c>
    </row>
    <row r="41" spans="1:8" x14ac:dyDescent="0.25">
      <c r="B41" t="s">
        <v>195</v>
      </c>
      <c r="C41" s="9">
        <v>15000</v>
      </c>
      <c r="D41" s="9"/>
      <c r="E41" s="9"/>
      <c r="F41" s="26">
        <f t="shared" si="0"/>
        <v>15000</v>
      </c>
      <c r="G41" t="s">
        <v>176</v>
      </c>
    </row>
    <row r="42" spans="1:8" x14ac:dyDescent="0.25">
      <c r="A42" s="23" t="s">
        <v>196</v>
      </c>
      <c r="B42" s="23" t="s">
        <v>131</v>
      </c>
      <c r="C42" s="27">
        <v>19500</v>
      </c>
      <c r="D42" s="27"/>
      <c r="E42" s="27"/>
      <c r="F42" s="30">
        <f t="shared" si="0"/>
        <v>19500</v>
      </c>
      <c r="G42" s="23" t="s">
        <v>176</v>
      </c>
      <c r="H42" s="27">
        <f>SUM(F42:F43)</f>
        <v>42000</v>
      </c>
    </row>
    <row r="43" spans="1:8" x14ac:dyDescent="0.25">
      <c r="B43" t="s">
        <v>197</v>
      </c>
      <c r="C43" s="9">
        <v>22500</v>
      </c>
      <c r="D43" s="9"/>
      <c r="E43" s="9"/>
      <c r="F43" s="26">
        <f t="shared" si="0"/>
        <v>22500</v>
      </c>
      <c r="G43" t="s">
        <v>176</v>
      </c>
    </row>
    <row r="44" spans="1:8" x14ac:dyDescent="0.25">
      <c r="A44" s="23" t="s">
        <v>198</v>
      </c>
      <c r="B44" s="23" t="s">
        <v>200</v>
      </c>
      <c r="C44" s="27">
        <v>135382</v>
      </c>
      <c r="D44" s="27"/>
      <c r="E44" s="27"/>
      <c r="F44" s="30">
        <f t="shared" si="0"/>
        <v>135382</v>
      </c>
      <c r="G44" s="23" t="s">
        <v>176</v>
      </c>
      <c r="H44" s="27">
        <f>SUM(F44:F49)</f>
        <v>13669093</v>
      </c>
    </row>
    <row r="45" spans="1:8" x14ac:dyDescent="0.25">
      <c r="A45" s="38"/>
      <c r="B45" s="40" t="s">
        <v>235</v>
      </c>
      <c r="C45" s="39">
        <v>10055426</v>
      </c>
      <c r="D45" s="39">
        <v>2900000</v>
      </c>
      <c r="E45" s="39"/>
      <c r="F45" s="45">
        <f t="shared" si="0"/>
        <v>12955426</v>
      </c>
      <c r="G45" s="38" t="s">
        <v>298</v>
      </c>
    </row>
    <row r="46" spans="1:8" x14ac:dyDescent="0.25">
      <c r="A46" s="6"/>
      <c r="B46" s="51" t="s">
        <v>253</v>
      </c>
      <c r="C46" s="15">
        <v>400000</v>
      </c>
      <c r="D46" s="15"/>
      <c r="E46" s="15"/>
      <c r="F46" s="32">
        <f t="shared" si="0"/>
        <v>400000</v>
      </c>
      <c r="G46" s="31" t="s">
        <v>176</v>
      </c>
    </row>
    <row r="47" spans="1:8" x14ac:dyDescent="0.25">
      <c r="B47" t="s">
        <v>201</v>
      </c>
      <c r="C47" s="9">
        <v>20000</v>
      </c>
      <c r="D47" s="9"/>
      <c r="E47" s="9"/>
      <c r="F47" s="30">
        <f t="shared" si="0"/>
        <v>20000</v>
      </c>
      <c r="G47" t="s">
        <v>176</v>
      </c>
    </row>
    <row r="48" spans="1:8" x14ac:dyDescent="0.25">
      <c r="B48" t="s">
        <v>131</v>
      </c>
      <c r="C48" s="9">
        <v>18285</v>
      </c>
      <c r="D48" s="9"/>
      <c r="E48" s="9"/>
      <c r="F48" s="30">
        <f t="shared" si="0"/>
        <v>18285</v>
      </c>
      <c r="G48" t="s">
        <v>176</v>
      </c>
    </row>
    <row r="49" spans="1:8" x14ac:dyDescent="0.25">
      <c r="A49" s="24"/>
      <c r="B49" s="24" t="s">
        <v>202</v>
      </c>
      <c r="C49" s="26">
        <v>140000</v>
      </c>
      <c r="D49" s="26"/>
      <c r="E49" s="26"/>
      <c r="F49" s="26">
        <f t="shared" si="0"/>
        <v>140000</v>
      </c>
      <c r="G49" s="24" t="s">
        <v>203</v>
      </c>
      <c r="H49" s="24"/>
    </row>
    <row r="50" spans="1:8" x14ac:dyDescent="0.25">
      <c r="A50" s="38" t="s">
        <v>209</v>
      </c>
      <c r="B50" s="40" t="s">
        <v>235</v>
      </c>
      <c r="C50" s="39">
        <v>3426976</v>
      </c>
      <c r="D50" s="39"/>
      <c r="E50" s="39"/>
      <c r="F50" s="45">
        <f>SUM(C50:E50)</f>
        <v>3426976</v>
      </c>
      <c r="G50" s="38" t="s">
        <v>233</v>
      </c>
      <c r="H50" s="15">
        <f>SUM(F50:F52)</f>
        <v>3484749</v>
      </c>
    </row>
    <row r="51" spans="1:8" x14ac:dyDescent="0.25">
      <c r="A51" s="38"/>
      <c r="B51" s="38" t="s">
        <v>228</v>
      </c>
      <c r="C51" s="39">
        <v>6273</v>
      </c>
      <c r="D51" s="39"/>
      <c r="E51" s="39"/>
      <c r="F51" s="45">
        <f>SUM(C51:E51)</f>
        <v>6273</v>
      </c>
      <c r="G51" s="38" t="s">
        <v>176</v>
      </c>
    </row>
    <row r="52" spans="1:8" x14ac:dyDescent="0.25">
      <c r="A52" s="38"/>
      <c r="B52" s="38" t="s">
        <v>227</v>
      </c>
      <c r="C52" s="39">
        <v>51500</v>
      </c>
      <c r="D52" s="39"/>
      <c r="E52" s="39"/>
      <c r="F52" s="46">
        <f>SUM(C52:E52)</f>
        <v>51500</v>
      </c>
      <c r="G52" s="38" t="s">
        <v>233</v>
      </c>
    </row>
    <row r="53" spans="1:8" x14ac:dyDescent="0.25">
      <c r="A53" s="23" t="s">
        <v>204</v>
      </c>
      <c r="B53" s="23" t="s">
        <v>205</v>
      </c>
      <c r="C53" s="27">
        <v>120000</v>
      </c>
      <c r="D53" s="27"/>
      <c r="E53" s="27"/>
      <c r="F53" s="30">
        <f t="shared" si="0"/>
        <v>120000</v>
      </c>
      <c r="G53" s="23" t="s">
        <v>203</v>
      </c>
      <c r="H53" s="27">
        <f>SUM(F53:F61)</f>
        <v>1649884</v>
      </c>
    </row>
    <row r="54" spans="1:8" x14ac:dyDescent="0.25">
      <c r="A54" s="38"/>
      <c r="B54" s="38" t="s">
        <v>249</v>
      </c>
      <c r="C54" s="39">
        <v>635408</v>
      </c>
      <c r="D54" s="39"/>
      <c r="E54" s="39"/>
      <c r="F54" s="45">
        <f t="shared" si="0"/>
        <v>635408</v>
      </c>
      <c r="G54" s="38" t="s">
        <v>233</v>
      </c>
    </row>
    <row r="55" spans="1:8" x14ac:dyDescent="0.25">
      <c r="A55" s="38"/>
      <c r="B55" s="38" t="s">
        <v>228</v>
      </c>
      <c r="C55" s="39">
        <v>178640</v>
      </c>
      <c r="D55" s="39"/>
      <c r="E55" s="39"/>
      <c r="F55" s="45">
        <f t="shared" si="0"/>
        <v>178640</v>
      </c>
      <c r="G55" s="38" t="s">
        <v>176</v>
      </c>
    </row>
    <row r="56" spans="1:8" x14ac:dyDescent="0.25">
      <c r="A56" s="38"/>
      <c r="B56" s="38" t="s">
        <v>230</v>
      </c>
      <c r="C56" s="39">
        <v>128060</v>
      </c>
      <c r="D56" s="39"/>
      <c r="E56" s="39"/>
      <c r="F56" s="45">
        <f t="shared" si="0"/>
        <v>128060</v>
      </c>
      <c r="G56" s="38" t="s">
        <v>176</v>
      </c>
    </row>
    <row r="57" spans="1:8" x14ac:dyDescent="0.25">
      <c r="A57" s="38"/>
      <c r="B57" s="40" t="s">
        <v>235</v>
      </c>
      <c r="C57" s="39">
        <v>341196</v>
      </c>
      <c r="D57" s="39"/>
      <c r="E57" s="39"/>
      <c r="F57" s="45">
        <f t="shared" si="0"/>
        <v>341196</v>
      </c>
      <c r="G57" s="38" t="s">
        <v>176</v>
      </c>
    </row>
    <row r="58" spans="1:8" x14ac:dyDescent="0.25">
      <c r="B58" t="s">
        <v>206</v>
      </c>
      <c r="C58" s="9">
        <v>6580</v>
      </c>
      <c r="D58" s="9"/>
      <c r="E58" s="9"/>
      <c r="F58" s="30">
        <f t="shared" si="0"/>
        <v>6580</v>
      </c>
      <c r="G58" t="s">
        <v>176</v>
      </c>
    </row>
    <row r="59" spans="1:8" x14ac:dyDescent="0.25">
      <c r="B59" t="s">
        <v>207</v>
      </c>
      <c r="C59" s="9">
        <v>50000</v>
      </c>
      <c r="D59" s="9"/>
      <c r="E59" s="9"/>
      <c r="F59" s="30">
        <f t="shared" si="0"/>
        <v>50000</v>
      </c>
      <c r="G59" t="s">
        <v>176</v>
      </c>
    </row>
    <row r="60" spans="1:8" x14ac:dyDescent="0.25">
      <c r="B60" t="s">
        <v>200</v>
      </c>
      <c r="C60" s="9">
        <v>40000</v>
      </c>
      <c r="D60" s="9"/>
      <c r="E60" s="9"/>
      <c r="F60" s="30">
        <f t="shared" si="0"/>
        <v>40000</v>
      </c>
      <c r="G60" t="s">
        <v>176</v>
      </c>
      <c r="H60" s="29"/>
    </row>
    <row r="61" spans="1:8" x14ac:dyDescent="0.25">
      <c r="A61" s="24"/>
      <c r="B61" s="24" t="s">
        <v>208</v>
      </c>
      <c r="C61" s="26">
        <v>150000</v>
      </c>
      <c r="D61" s="26"/>
      <c r="E61" s="26"/>
      <c r="F61" s="26">
        <f t="shared" si="0"/>
        <v>150000</v>
      </c>
      <c r="G61" s="24" t="s">
        <v>176</v>
      </c>
      <c r="H61" s="24"/>
    </row>
    <row r="62" spans="1:8" x14ac:dyDescent="0.25">
      <c r="C62" s="9"/>
      <c r="D62" s="9"/>
      <c r="E62" s="9"/>
      <c r="F62" s="30"/>
      <c r="H62" s="9"/>
    </row>
    <row r="63" spans="1:8" x14ac:dyDescent="0.25">
      <c r="C63" s="9">
        <f>SUM(C2:C61)</f>
        <v>19881939</v>
      </c>
      <c r="D63" s="9">
        <f>SUM(D2:D61)</f>
        <v>4707457</v>
      </c>
      <c r="E63" s="9">
        <f>SUM(E2:E61)</f>
        <v>-323757</v>
      </c>
      <c r="F63" s="30">
        <f>SUM(F2:F61)</f>
        <v>24265639</v>
      </c>
      <c r="G63" s="43" t="s">
        <v>1</v>
      </c>
      <c r="H63" s="9">
        <f>SUM(H2:H60)</f>
        <v>24265639</v>
      </c>
    </row>
    <row r="64" spans="1:8" x14ac:dyDescent="0.25">
      <c r="B64" s="38" t="s">
        <v>390</v>
      </c>
      <c r="G64" s="13" t="s">
        <v>239</v>
      </c>
      <c r="H64" s="26">
        <f>F45+F50+F57</f>
        <v>16723598</v>
      </c>
    </row>
    <row r="65" spans="1:8" x14ac:dyDescent="0.25">
      <c r="B65" s="41" t="s">
        <v>234</v>
      </c>
      <c r="C65" s="9">
        <v>2533347</v>
      </c>
      <c r="E65" s="9"/>
      <c r="F65" s="30"/>
      <c r="G65" t="s">
        <v>241</v>
      </c>
      <c r="H65" s="9">
        <f>H63-H64</f>
        <v>7542041</v>
      </c>
    </row>
    <row r="66" spans="1:8" x14ac:dyDescent="0.25">
      <c r="A66" s="6"/>
      <c r="B66" s="6"/>
      <c r="C66" s="15"/>
      <c r="D66" s="15"/>
      <c r="E66" s="15"/>
      <c r="F66" s="32"/>
      <c r="G66" s="6"/>
    </row>
    <row r="67" spans="1:8" x14ac:dyDescent="0.25">
      <c r="A67" s="6"/>
      <c r="B67" s="7" t="s">
        <v>242</v>
      </c>
      <c r="C67" s="9">
        <f>H63/10</f>
        <v>2426563.9</v>
      </c>
      <c r="D67" s="6"/>
      <c r="E67" s="6"/>
      <c r="F67" s="31"/>
      <c r="G67" s="6"/>
    </row>
    <row r="68" spans="1:8" x14ac:dyDescent="0.25">
      <c r="B68" s="7" t="s">
        <v>243</v>
      </c>
      <c r="C68" s="9">
        <f>H65/10</f>
        <v>754204.1</v>
      </c>
    </row>
    <row r="70" spans="1:8" x14ac:dyDescent="0.25">
      <c r="B70" s="239" t="s">
        <v>415</v>
      </c>
      <c r="C70" s="239"/>
      <c r="D70" s="239"/>
      <c r="E70" s="239"/>
      <c r="F70" s="239"/>
      <c r="G70" s="239"/>
      <c r="H70" s="239"/>
    </row>
    <row r="71" spans="1:8" x14ac:dyDescent="0.25">
      <c r="B71" s="239"/>
      <c r="C71" s="239"/>
      <c r="D71" s="239"/>
      <c r="E71" s="239"/>
      <c r="F71" s="239"/>
      <c r="G71" s="239"/>
      <c r="H71" s="239"/>
    </row>
    <row r="72" spans="1:8" x14ac:dyDescent="0.25">
      <c r="B72" s="239"/>
      <c r="C72" s="239"/>
      <c r="D72" s="239"/>
      <c r="E72" s="239"/>
      <c r="F72" s="239"/>
      <c r="G72" s="239"/>
      <c r="H72" s="239"/>
    </row>
    <row r="73" spans="1:8" x14ac:dyDescent="0.25">
      <c r="B73" s="239"/>
      <c r="C73" s="239"/>
      <c r="D73" s="239"/>
      <c r="E73" s="239"/>
      <c r="F73" s="239"/>
      <c r="G73" s="239"/>
      <c r="H73" s="239"/>
    </row>
  </sheetData>
  <sheetProtection algorithmName="SHA-512" hashValue="2ljLyL1doKD8OW5+QFjdhq3U+9VqpFwjnoSmjTXwLZmpvxdCdiTjSSiXHa6nPUJtlouBWsKfzaF6MYypi9d/Lg==" saltValue="T9a/MuW7Ot9ad2e3vxAc+w==" spinCount="100000" sheet="1" objects="1" scenarios="1"/>
  <mergeCells count="1">
    <mergeCell ref="B70:H73"/>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0"/>
  <sheetViews>
    <sheetView topLeftCell="A7" zoomScale="130" zoomScaleNormal="130" workbookViewId="0">
      <selection activeCell="H27" sqref="H27"/>
    </sheetView>
  </sheetViews>
  <sheetFormatPr defaultRowHeight="15" x14ac:dyDescent="0.25"/>
  <cols>
    <col min="1" max="1" width="24" customWidth="1"/>
    <col min="2" max="2" width="13.5703125" style="9" customWidth="1"/>
    <col min="3" max="3" width="13" customWidth="1"/>
    <col min="4" max="4" width="13.42578125" customWidth="1"/>
    <col min="5" max="5" width="26.28515625" customWidth="1"/>
    <col min="6" max="6" width="11.7109375" style="9" customWidth="1"/>
    <col min="7" max="7" width="10.42578125" customWidth="1"/>
    <col min="8" max="8" width="10.7109375" customWidth="1"/>
  </cols>
  <sheetData>
    <row r="1" spans="1:8" x14ac:dyDescent="0.25">
      <c r="A1" s="52"/>
      <c r="B1" s="53" t="s">
        <v>259</v>
      </c>
      <c r="C1" s="52"/>
      <c r="D1" s="52"/>
      <c r="E1" s="54" t="s">
        <v>210</v>
      </c>
      <c r="F1" s="55"/>
      <c r="G1" s="52"/>
      <c r="H1" s="52"/>
    </row>
    <row r="2" spans="1:8" x14ac:dyDescent="0.25">
      <c r="A2" s="52"/>
      <c r="B2" s="55" t="s">
        <v>254</v>
      </c>
      <c r="C2" s="52" t="s">
        <v>175</v>
      </c>
      <c r="D2" s="52" t="s">
        <v>0</v>
      </c>
      <c r="E2" s="56"/>
      <c r="F2" s="55" t="s">
        <v>254</v>
      </c>
      <c r="G2" s="52" t="s">
        <v>175</v>
      </c>
      <c r="H2" s="52" t="s">
        <v>0</v>
      </c>
    </row>
    <row r="3" spans="1:8" x14ac:dyDescent="0.25">
      <c r="A3" s="57" t="s">
        <v>271</v>
      </c>
      <c r="B3" s="58">
        <f>SUM(B4:B7)</f>
        <v>277409</v>
      </c>
      <c r="C3" s="58">
        <f>SUM(C4:C7)</f>
        <v>277996</v>
      </c>
      <c r="D3" s="58">
        <f>SUM(D4:D7)</f>
        <v>264971</v>
      </c>
      <c r="E3" s="57" t="s">
        <v>271</v>
      </c>
      <c r="F3" s="58">
        <f>SUM(F4:F7)</f>
        <v>404445</v>
      </c>
      <c r="G3" s="58">
        <f>SUM(G4:G7)</f>
        <v>408367</v>
      </c>
      <c r="H3" s="58">
        <f>SUM(H4:H7)</f>
        <v>392645</v>
      </c>
    </row>
    <row r="4" spans="1:8" x14ac:dyDescent="0.25">
      <c r="A4" s="52" t="s">
        <v>312</v>
      </c>
      <c r="B4" s="55">
        <v>195924</v>
      </c>
      <c r="C4" s="55">
        <v>194152</v>
      </c>
      <c r="D4" s="55">
        <v>188743</v>
      </c>
      <c r="E4" s="56" t="s">
        <v>262</v>
      </c>
      <c r="F4" s="55">
        <v>292425</v>
      </c>
      <c r="G4" s="59">
        <v>295292</v>
      </c>
      <c r="H4" s="59">
        <v>281096</v>
      </c>
    </row>
    <row r="5" spans="1:8" x14ac:dyDescent="0.25">
      <c r="A5" s="52" t="s">
        <v>265</v>
      </c>
      <c r="B5" s="55">
        <v>16329</v>
      </c>
      <c r="C5" s="55">
        <v>16219</v>
      </c>
      <c r="D5" s="55">
        <v>15457</v>
      </c>
      <c r="E5" s="56" t="s">
        <v>265</v>
      </c>
      <c r="F5" s="55">
        <v>22371</v>
      </c>
      <c r="G5" s="59">
        <v>22737</v>
      </c>
      <c r="H5" s="59">
        <v>22075</v>
      </c>
    </row>
    <row r="6" spans="1:8" x14ac:dyDescent="0.25">
      <c r="A6" s="52" t="s">
        <v>263</v>
      </c>
      <c r="B6" s="55">
        <v>15281</v>
      </c>
      <c r="C6" s="55">
        <v>15125</v>
      </c>
      <c r="D6" s="55">
        <v>13861</v>
      </c>
      <c r="E6" s="56" t="s">
        <v>263</v>
      </c>
      <c r="F6" s="55">
        <v>44753</v>
      </c>
      <c r="G6" s="59">
        <v>45770</v>
      </c>
      <c r="H6" s="59">
        <v>45154</v>
      </c>
    </row>
    <row r="7" spans="1:8" x14ac:dyDescent="0.25">
      <c r="A7" s="52" t="s">
        <v>264</v>
      </c>
      <c r="B7" s="55">
        <v>49875</v>
      </c>
      <c r="C7" s="55">
        <v>52500</v>
      </c>
      <c r="D7" s="55">
        <v>46910</v>
      </c>
      <c r="E7" s="56" t="s">
        <v>264</v>
      </c>
      <c r="F7" s="55">
        <v>44896</v>
      </c>
      <c r="G7" s="59">
        <v>44568</v>
      </c>
      <c r="H7" s="59">
        <v>44320</v>
      </c>
    </row>
    <row r="8" spans="1:8" x14ac:dyDescent="0.25">
      <c r="A8" s="52"/>
      <c r="B8" s="55"/>
      <c r="C8" s="55"/>
      <c r="D8" s="55"/>
      <c r="E8" s="56"/>
      <c r="F8" s="55"/>
      <c r="G8" s="52"/>
      <c r="H8" s="52"/>
    </row>
    <row r="9" spans="1:8" x14ac:dyDescent="0.25">
      <c r="A9" s="52"/>
      <c r="B9" s="55"/>
      <c r="C9" s="55"/>
      <c r="D9" s="55"/>
      <c r="E9" s="56"/>
      <c r="F9" s="55"/>
      <c r="G9" s="52"/>
      <c r="H9" s="52"/>
    </row>
    <row r="10" spans="1:8" x14ac:dyDescent="0.25">
      <c r="A10" s="60" t="s">
        <v>255</v>
      </c>
      <c r="B10" s="58">
        <f>SUM(B11:B16)</f>
        <v>101546</v>
      </c>
      <c r="C10" s="58">
        <f>SUM(C11:C16)</f>
        <v>120259</v>
      </c>
      <c r="D10" s="58">
        <f>SUM(D11:D16)</f>
        <v>90409</v>
      </c>
      <c r="E10" s="57" t="s">
        <v>255</v>
      </c>
      <c r="F10" s="58">
        <f>SUM(F11:F16)</f>
        <v>320839</v>
      </c>
      <c r="G10" s="58">
        <f>SUM(G11:G14)</f>
        <v>300839</v>
      </c>
      <c r="H10" s="58">
        <f>SUM(H11:H14)</f>
        <v>283339</v>
      </c>
    </row>
    <row r="11" spans="1:8" x14ac:dyDescent="0.25">
      <c r="A11" s="61" t="s">
        <v>272</v>
      </c>
      <c r="B11" s="55">
        <v>43594</v>
      </c>
      <c r="C11" s="55">
        <v>43594</v>
      </c>
      <c r="D11" s="55">
        <v>37923</v>
      </c>
      <c r="E11" s="62" t="s">
        <v>256</v>
      </c>
      <c r="F11" s="55">
        <v>256839</v>
      </c>
      <c r="G11" s="59">
        <v>243439</v>
      </c>
      <c r="H11" s="59">
        <v>225939</v>
      </c>
    </row>
    <row r="12" spans="1:8" x14ac:dyDescent="0.25">
      <c r="A12" s="61" t="s">
        <v>266</v>
      </c>
      <c r="B12" s="55">
        <v>6800</v>
      </c>
      <c r="C12" s="55">
        <v>6800</v>
      </c>
      <c r="D12" s="55">
        <v>6300</v>
      </c>
      <c r="E12" s="62" t="s">
        <v>257</v>
      </c>
      <c r="F12" s="55">
        <v>62000</v>
      </c>
      <c r="G12" s="59">
        <v>42000</v>
      </c>
      <c r="H12" s="59">
        <v>42000</v>
      </c>
    </row>
    <row r="13" spans="1:8" x14ac:dyDescent="0.25">
      <c r="A13" s="61" t="s">
        <v>267</v>
      </c>
      <c r="B13" s="55">
        <v>12104</v>
      </c>
      <c r="C13" s="55">
        <v>11752</v>
      </c>
      <c r="D13" s="55">
        <v>10752</v>
      </c>
      <c r="E13" s="62" t="s">
        <v>258</v>
      </c>
      <c r="F13" s="55">
        <v>2000</v>
      </c>
      <c r="G13" s="59">
        <v>2000</v>
      </c>
      <c r="H13" s="59">
        <v>2000</v>
      </c>
    </row>
    <row r="14" spans="1:8" x14ac:dyDescent="0.25">
      <c r="A14" s="61" t="s">
        <v>268</v>
      </c>
      <c r="B14" s="55">
        <v>32148</v>
      </c>
      <c r="C14" s="55">
        <v>31213</v>
      </c>
      <c r="D14" s="55">
        <v>33534</v>
      </c>
      <c r="E14" s="62" t="s">
        <v>279</v>
      </c>
      <c r="F14" s="55"/>
      <c r="G14" s="59">
        <v>13400</v>
      </c>
      <c r="H14" s="59">
        <v>13400</v>
      </c>
    </row>
    <row r="15" spans="1:8" x14ac:dyDescent="0.25">
      <c r="A15" s="61" t="s">
        <v>269</v>
      </c>
      <c r="B15" s="55">
        <v>5000</v>
      </c>
      <c r="C15" s="55">
        <v>25000</v>
      </c>
      <c r="D15" s="55"/>
      <c r="E15" s="56"/>
      <c r="F15" s="55"/>
      <c r="G15" s="52"/>
      <c r="H15" s="52"/>
    </row>
    <row r="16" spans="1:8" x14ac:dyDescent="0.25">
      <c r="A16" s="61" t="s">
        <v>270</v>
      </c>
      <c r="B16" s="55">
        <v>1900</v>
      </c>
      <c r="C16" s="55">
        <v>1900</v>
      </c>
      <c r="D16" s="55">
        <v>1900</v>
      </c>
      <c r="E16" s="56"/>
      <c r="F16" s="55"/>
      <c r="G16" s="52"/>
      <c r="H16" s="52"/>
    </row>
    <row r="17" spans="1:8" x14ac:dyDescent="0.25">
      <c r="A17" s="52"/>
      <c r="B17" s="55"/>
      <c r="C17" s="55"/>
      <c r="D17" s="55"/>
      <c r="E17" s="56"/>
      <c r="F17" s="55"/>
      <c r="G17" s="52"/>
      <c r="H17" s="52"/>
    </row>
    <row r="18" spans="1:8" x14ac:dyDescent="0.25">
      <c r="A18" s="60" t="s">
        <v>276</v>
      </c>
      <c r="B18" s="55">
        <v>4000</v>
      </c>
      <c r="C18" s="55">
        <v>4000</v>
      </c>
      <c r="D18" s="55">
        <v>4000</v>
      </c>
      <c r="E18" s="57" t="s">
        <v>260</v>
      </c>
      <c r="F18" s="55">
        <v>83080</v>
      </c>
      <c r="G18" s="59">
        <v>73080</v>
      </c>
      <c r="H18" s="59">
        <v>73080</v>
      </c>
    </row>
    <row r="19" spans="1:8" x14ac:dyDescent="0.25">
      <c r="A19" s="60" t="s">
        <v>274</v>
      </c>
      <c r="B19" s="55">
        <v>1700</v>
      </c>
      <c r="C19" s="55">
        <v>1700</v>
      </c>
      <c r="D19" s="55">
        <v>1700</v>
      </c>
      <c r="E19" s="57" t="s">
        <v>261</v>
      </c>
      <c r="F19" s="55">
        <v>89000</v>
      </c>
      <c r="G19" s="59">
        <v>74000</v>
      </c>
      <c r="H19" s="59">
        <v>74000</v>
      </c>
    </row>
    <row r="20" spans="1:8" x14ac:dyDescent="0.25">
      <c r="A20" s="60" t="s">
        <v>273</v>
      </c>
      <c r="B20" s="55">
        <v>4100</v>
      </c>
      <c r="C20" s="55">
        <v>2500</v>
      </c>
      <c r="D20" s="55">
        <v>2500</v>
      </c>
      <c r="E20" s="56"/>
      <c r="F20" s="55"/>
      <c r="G20" s="52"/>
      <c r="H20" s="52"/>
    </row>
    <row r="21" spans="1:8" x14ac:dyDescent="0.25">
      <c r="A21" s="60" t="s">
        <v>275</v>
      </c>
      <c r="B21" s="55">
        <v>5000</v>
      </c>
      <c r="C21" s="55">
        <v>5000</v>
      </c>
      <c r="D21" s="55">
        <v>5000</v>
      </c>
      <c r="E21" s="56"/>
      <c r="F21" s="55"/>
      <c r="G21" s="52"/>
      <c r="H21" s="52"/>
    </row>
    <row r="22" spans="1:8" x14ac:dyDescent="0.25">
      <c r="A22" s="60" t="s">
        <v>277</v>
      </c>
      <c r="B22" s="55">
        <v>148000</v>
      </c>
      <c r="C22" s="55">
        <v>148000</v>
      </c>
      <c r="D22" s="55">
        <v>148000</v>
      </c>
      <c r="E22" s="56"/>
      <c r="F22" s="55"/>
      <c r="G22" s="52"/>
      <c r="H22" s="52"/>
    </row>
    <row r="23" spans="1:8" x14ac:dyDescent="0.25">
      <c r="A23" s="52"/>
      <c r="B23" s="55"/>
      <c r="C23" s="52"/>
      <c r="D23" s="52"/>
      <c r="E23" s="56"/>
      <c r="F23" s="55"/>
      <c r="G23" s="52"/>
      <c r="H23" s="52"/>
    </row>
    <row r="24" spans="1:8" x14ac:dyDescent="0.25">
      <c r="A24" s="52"/>
      <c r="B24" s="55"/>
      <c r="C24" s="52"/>
      <c r="D24" s="52"/>
      <c r="E24" s="56"/>
      <c r="F24" s="55"/>
      <c r="G24" s="52"/>
      <c r="H24" s="52"/>
    </row>
    <row r="25" spans="1:8" x14ac:dyDescent="0.25">
      <c r="A25" s="52"/>
      <c r="B25" s="55"/>
      <c r="C25" s="52"/>
      <c r="D25" s="52"/>
      <c r="E25" s="56"/>
      <c r="F25" s="55"/>
      <c r="G25" s="52"/>
      <c r="H25" s="52"/>
    </row>
    <row r="26" spans="1:8" x14ac:dyDescent="0.25">
      <c r="A26" s="52"/>
      <c r="B26" s="55">
        <f>B3+B10+B18+B19+B20+B21+B22</f>
        <v>541755</v>
      </c>
      <c r="C26" s="55">
        <f>C3+C10+C18+C19+C20+C21+C22</f>
        <v>559455</v>
      </c>
      <c r="D26" s="55">
        <f>D3+D10+D18+D19+D20+D21+D22</f>
        <v>516580</v>
      </c>
      <c r="E26" s="56"/>
      <c r="F26" s="55">
        <f>F3+F10+F18+F19</f>
        <v>897364</v>
      </c>
      <c r="G26" s="55">
        <f>G3+G10+G18+G19</f>
        <v>856286</v>
      </c>
      <c r="H26" s="55">
        <f>H3+H10+H18+H19</f>
        <v>823064</v>
      </c>
    </row>
    <row r="27" spans="1:8" x14ac:dyDescent="0.25">
      <c r="A27" s="52"/>
      <c r="B27" s="63"/>
      <c r="C27" s="63"/>
      <c r="D27" s="52"/>
      <c r="E27" s="56"/>
      <c r="F27" s="63"/>
      <c r="G27" s="63"/>
      <c r="H27" s="52"/>
    </row>
    <row r="28" spans="1:8" x14ac:dyDescent="0.25">
      <c r="A28" s="52"/>
      <c r="B28" s="58" t="s">
        <v>278</v>
      </c>
      <c r="C28" s="55">
        <f>AVERAGE(B26:D26)</f>
        <v>539263.33333333337</v>
      </c>
      <c r="D28" s="52"/>
      <c r="E28" s="56"/>
      <c r="F28" s="58" t="s">
        <v>278</v>
      </c>
      <c r="G28" s="55">
        <f>AVERAGE(F26:H26)</f>
        <v>858904.66666666663</v>
      </c>
      <c r="H28" s="52"/>
    </row>
    <row r="29" spans="1:8" x14ac:dyDescent="0.25">
      <c r="C29" s="52"/>
    </row>
    <row r="30" spans="1:8" x14ac:dyDescent="0.25">
      <c r="C30" s="55"/>
    </row>
  </sheetData>
  <sheetProtection algorithmName="SHA-512" hashValue="2REZoAeeH1qmXgLBgRg29957Uh55VuZ3fqeqyMJWZIbCCOdTOWs3H6lczMoldgw2/aTb/oGPTHiSGDwCDUYLzw==" saltValue="ylSwZDn/FP8kAjhP89Xegw==" spinCount="100000" sheet="1" objects="1" scenarios="1"/>
  <pageMargins left="0.7" right="0.7" top="0.75" bottom="0.75" header="0.3" footer="0.3"/>
  <pageSetup orientation="landscape" horizontalDpi="300" verticalDpi="300" r:id="rId1"/>
  <extLst>
    <ext xmlns:x14="http://schemas.microsoft.com/office/spreadsheetml/2009/9/main" uri="{05C60535-1F16-4fd2-B633-F4F36F0B64E0}">
      <x14:sparklineGroups xmlns:xm="http://schemas.microsoft.com/office/excel/2006/main">
        <x14:sparklineGroup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'Annual Maintenance Comparison'!F26:H26</xm:f>
              <xm:sqref>G27</xm:sqref>
            </x14:sparkline>
          </x14:sparklines>
        </x14:sparklineGroup>
        <x14:sparklineGroup displayEmptyCellsAs="gap" xr2:uid="{00000000-0003-0000-0800-000007000000}">
          <x14:colorSeries rgb="FF376092"/>
          <x14:colorNegative rgb="FFD00000"/>
          <x14:colorAxis rgb="FF000000"/>
          <x14:colorMarkers rgb="FFD00000"/>
          <x14:colorFirst rgb="FFD00000"/>
          <x14:colorLast rgb="FFD00000"/>
          <x14:colorHigh rgb="FFD00000"/>
          <x14:colorLow rgb="FFD00000"/>
          <x14:sparklines>
            <x14:sparkline>
              <xm:f>'Annual Maintenance Comparison'!B26:D26</xm:f>
              <xm:sqref>C27</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T a b l e X M L _ T a b l e 1 " > < C u s t o m C o n t e n t > & l t ; T a b l e W i d g e t G r i d S e r i a l i z a t i o n   x m l n s : x s i = " h t t p : / / w w w . w 3 . o r g / 2 0 0 1 / X M L S c h e m a - i n s t a n c e "   x m l n s : x s d = " h t t p : / / w w w . w 3 . o r g / 2 0 0 1 / X M L S c h e m a " & g t ; & l t ; C o l u m n S u g g e s t e d T y p e   / & g t ; & l t ; C o l u m n F o r m a t   / & g t ; & l t ; C o l u m n A c c u r a c y   / & g t ; & l t ; C o l u m n C u r r e n c y S y m b o l   / & g t ; & l t ; C o l u m n P o s i t i v e P a t t e r n   / & g t ; & l t ; C o l u m n N e g a t i v e P a t t e r n   / & g t ; & l t ; C o l u m n W i d t h s   / & g t ; & l t ; C o l u m n D i s p l a y I n d e x   / & g t ; & l t ; C o l u m n F r o z e n 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M a n u a l C a l c M o d e " > < C u s t o m C o n t e n t > < ! [ C D A T A [ F a l s e ] ] > < / C u s t o m C o n t e n t > < / G e m i n i > 
</file>

<file path=customXml/item12.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T a b l e 1 & 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 i : t y p e = " S a n d b o x E d i t o r T a b l e W i d g e t V i e w M o d e l K e y " & g t ; & l t ; T a b l e N a m e & g t ; T a b l e 1 & l t ; / T a b l e N a m e & g t ; & l t ; / K e y & g t ; & l t ; M a i n t a i n e r 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o l u m n 1 & l t ; / K e y & g t ; & l t ; / a : K e y & g t ; & l t ; a : V a l u e   i : t y p e = " T a b l e W i d g e t B a s e V i e w S t a t e " / & g t ; & l t ; / a : K e y V a l u e O f D i a g r a m O b j e c t K e y a n y T y p e z b w N T n L X & g t ; & l t ; a : K e y V a l u e O f D i a g r a m O b j e c t K e y a n y T y p e z b w N T n L X & g t ; & l t ; a : K e y & g t ; & l t ; K e y & g t ; C o l u m n s \ C o l u m n 2 & l t ; / K e y & g t ; & l t ; / a : K e y & g t ; & l t ; a : V a l u e   i : t y p e = " T a b l e W i d g e t B a s e V i e w S t a t e " / & g t ; & l t ; / a : K e y V a l u e O f D i a g r a m O b j e c t K e y a n y T y p e z b w N T n L X & g t ; & l t ; a : K e y V a l u e O f D i a g r a m O b j e c t K e y a n y T y p e z b w N T n L X & g t ; & l t ; a : K e y & g t ; & l t ; K e y & g t ; C o l u m n s \ C o l u m n 3 & l t ; / K e y & g t ; & l t ; / a : K e y & g t ; & l t ; a : V a l u e   i : t y p e = " T a b l e W i d g e t B a s e V i e w S t a t e " / & g t ; & l t ; / a : K e y V a l u e O f D i a g r a m O b j e c t K e y a n y T y p e z b w N T n L X & g t ; & l t ; a : K e y V a l u e O f D i a g r a m O b j e c t K e y a n y T y p e z b w N T n L X & g t ; & l t ; a : K e y & g t ; & l t ; K e y & g t ; C o l u m n s \ C o l u m n 4 & l t ; / K e y & g t ; & l t ; / a : K e y & g t ; & l t ; a : V a l u e   i : t y p e = " T a b l e W i d g e t B a s e V i e w S t a t e " / & g t ; & l t ; / a : K e y V a l u e O f D i a g r a m O b j e c t K e y a n y T y p e z b w N T n L X & g t ; & l t ; a : K e y V a l u e O f D i a g r a m O b j e c t K e y a n y T y p e z b w N T n L X & g t ; & l t ; a : K e y & g t ; & l t ; K e y & g t ; C o l u m n s \ C o l u m n 5 & l t ; / K e y & g t ; & l t ; / a : K e y & g t ; & l t ; a : V a l u e   i : t y p e = " T a b l e W i d g e t B a s e V i e w S t a t e " / & g t ; & l t ; / a : K e y V a l u e O f D i a g r a m O b j e c t K e y a n y T y p e z b w N T n L X & g t ; & l t ; a : K e y V a l u e O f D i a g r a m O b j e c t K e y a n y T y p e z b w N T n L X & g t ; & l t ; a : K e y & g t ; & l t ; K e y & g t ; C o l u m n s \ C o l u m n 6 & l t ; / K e y & g t ; & l t ; / a : K e y & g t ; & l t ; a : V a l u e   i : t y p e = " T a b l e W i d g e t B a s e V i e w S t a t e " / & g t ; & l t ; / a : K e y V a l u e O f D i a g r a m O b j e c t K e y a n y T y p e z b w N T n L X & g t ; & l t ; a : K e y V a l u e O f D i a g r a m O b j e c t K e y a n y T y p e z b w N T n L X & g t ; & l t ; a : K e y & g t ; & l t ; K e y & g t ; C o l u m n s \ C o l u m n 7 & l t ; / K e y & g t ; & l t ; / a : K e y & g t ; & l t ; a : V a l u e   i : t y p e = " T a b l e W i d g e t B a s e V i e w S t a t e " / & g t ; & l t ; / a : K e y V a l u e O f D i a g r a m O b j e c t K e y a n y T y p e z b w N T n L X & g t ; & l t ; a : K e y V a l u e O f D i a g r a m O b j e c t K e y a n y T y p e z b w N T n L X & g t ; & l t ; a : K e y & g t ; & l t ; K e y & g t ; C o l u m n s \ C o l u m n 8 & l t ; / K e y & g t ; & l t ; / a : K e y & g t ; & l t ; a : V a l u e   i : t y p e = " T a b l e W i d g e t B a s e V i e w S t a t e " / & g t ; & l t ; / a : K e y V a l u e O f D i a g r a m O b j e c t K e y a n y T y p e z b w N T n L X & g t ; & l t ; a : K e y V a l u e O f D i a g r a m O b j e c t K e y a n y T y p e z b w N T n L X & g t ; & l t ; a : K e y & g t ; & l t ; K e y & g t ; C o l u m n s \ C o l u m n 9 & l t ; / K e y & g t ; & l t ; / a : K e y & g t ; & l t ; a : V a l u e   i : t y p e = " T a b l e W i d g e t B a s e V i e w S t a t e " / & g t ; & l t ; / a : K e y V a l u e O f D i a g r a m O b j e c t K e y a n y T y p e z b w N T n L X & g t ; & l t ; a : K e y V a l u e O f D i a g r a m O b j e c t K e y a n y T y p e z b w N T n L X & g t ; & l t ; a : K e y & g t ; & l t ; K e y & g t ; C o l u m n s \ C o l u m n 1 0 & l t ; / K e y & g t ; & l t ; / a : K e y & g t ; & l t ; a : V a l u e   i : t y p e = " T a b l e W i d g e t B a s e V i e w S t a t e " / & g t ; & l t ; / a : K e y V a l u e O f D i a g r a m O b j e c t K e y a n y T y p e z b w N T n L X & g t ; & l t ; a : K e y V a l u e O f D i a g r a m O b j e c t K e y a n y T y p e z b w N T n L X & g t ; & l t ; a : K e y & g t ; & l t ; K e y & g t ; C o l u m n s \ C o l u m n 1 1 & l t ; / K e y & g t ; & l t ; / a : K e y & g t ; & l t ; a : V a l u e   i : t y p e = " T a b l e W i d g e t B a s e V i e w S t a t e " / & g t ; & l t ; / a : K e y V a l u e O f D i a g r a m O b j e c t K e y a n y T y p e z b w N T n L X & g t ; & l t ; a : K e y V a l u e O f D i a g r a m O b j e c t K e y a n y T y p e z b w N T n L X & g t ; & l t ; a : K e y & g t ; & l t ; K e y & g t ; C o l u m n s \ C o l u m n 1 2 & l t ; / K e y & g t ; & l t ; / a : K e y & g t ; & l t ; a : V a l u e   i : t y p e = " T a b l e W i d g e t B a s e V i e w S t a t e " / & g t ; & l t ; / a : K e y V a l u e O f D i a g r a m O b j e c t K e y a n y T y p e z b w N T n L X & g t ; & l t ; a : K e y V a l u e O f D i a g r a m O b j e c t K e y a n y T y p e z b w N T n L X & g t ; & l t ; a : K e y & g t ; & l t ; K e y & g t ; C o l u m n s \ C o l u m n 1 3 & l t ; / K e y & g t ; & l t ; / a : K e y & g t ; & l t ; a : V a l u e   i : t y p e = " T a b l e W i d g e t B a s e V i e w S t a t e " / & g t ; & l t ; / a : K e y V a l u e O f D i a g r a m O b j e c t K e y a n y T y p e z b w N T n L X & g t ; & l t ; a : K e y V a l u e O f D i a g r a m O b j e c t K e y a n y T y p e z b w N T n L X & g t ; & l t ; a : K e y & g t ; & l t ; K e y & g t ; C o l u m n s \ C o l u m n 1 4 & l t ; / K e y & g t ; & l t ; / a : K e y & g t ; & l t ; a : V a l u e   i : t y p e = " T a b l e W i d g e t B a s e V i e w S t a t e " / & g t ; & l t ; / a : K e y V a l u e O f D i a g r a m O b j e c t K e y a n y T y p e z b w N T n L X & g t ; & l t ; a : K e y V a l u e O f D i a g r a m O b j e c t K e y a n y T y p e z b w N T n L X & g t ; & l t ; a : K e y & g t ; & l t ; K e y & g t ; C o l u m n s \ C o l u m n 1 5 & l t ; / K e y & g t ; & l t ; / a : K e y & g t ; & l t ; a : V a l u e   i : t y p e = " T a b l e W i d g e t B a s e V i e w S t a t e " / & g t ; & l t ; / a : K e y V a l u e O f D i a g r a m O b j e c t K e y a n y T y p e z b w N T n L X & g t ; & l t ; a : K e y V a l u e O f D i a g r a m O b j e c t K e y a n y T y p e z b w N T n L X & g t ; & l t ; a : K e y & g t ; & l t ; K e y & g t ; C o l u m n s \ C o l u m n 1 6 & l t ; / K e y & g t ; & l t ; / a : K e y & g t ; & l t ; a : V a l u e   i : t y p e = " T a b l e W i d g e t B a s e V i e w S t a t e " / & g t ; & l t ; / a : K e y V a l u e O f D i a g r a m O b j e c t K e y a n y T y p e z b w N T n L X & g t ; & l t ; a : K e y V a l u e O f D i a g r a m O b j e c t K e y a n y T y p e z b w N T n L X & g t ; & l t ; a : K e y & g t ; & l t ; K e y & g t ; C o l u m n s \ C o l u m n 1 7 & l t ; / K e y & g t ; & l t ; / a : K e y & g t ; & l t ; a : V a l u e   i : t y p e = " T a b l e W i d g e t B a s e V i e w S t a t e " / & g t ; & l t ; / a : K e y V a l u e O f D i a g r a m O b j e c t K e y a n y T y p e z b w N T n L X & g t ; & l t ; a : K e y V a l u e O f D i a g r a m O b j e c t K e y a n y T y p e z b w N T n L X & g t ; & l t ; a : K e y & g t ; & l t ; K e y & g t ; C o l u m n s \ C o l u m n 1 8 & 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T a b l e 2 & 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 i : t y p e = " S a n d b o x E d i t o r T a b l e W i d g e t V i e w M o d e l K e y " & g t ; & l t ; T a b l e N a m e & g t ; T a b l e 2 & l t ; / T a b l e N a m e & g t ; & l t ; / K e y & g t ; & l t ; M a i n t a i n e r 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o u n t i e s   /   S c h o o l   S y s t e m & l t ; / K e y & g t ; & l t ; / a : K e y & g t ; & l t ; a : V a l u e   i : t y p e = " T a b l e W i d g e t B a s e V i e w S t a t e " / & g t ; & l t ; / a : K e y V a l u e O f D i a g r a m O b j e c t K e y a n y T y p e z b w N T n L X & g t ; & l t ; a : K e y V a l u e O f D i a g r a m O b j e c t K e y a n y T y p e z b w N T n L X & g t ; & l t ; a : K e y & g t ; & l t ; K e y & g t ; C o l u m n s \ D e s i g n a t i o n & l t ; / K e y & g t ; & l t ; / a : K e y & g t ; & l t ; a : V a l u e   i : t y p e = " T a b l e W i d g e t B a s e V i e w S t a t e " / & g t ; & l t ; / a : K e y V a l u e O f D i a g r a m O b j e c t K e y a n y T y p e z b w N T n L X & g t ; & l t ; a : K e y V a l u e O f D i a g r a m O b j e c t K e y a n y T y p e z b w N T n L X & g t ; & l t ; a : K e y & g t ; & l t ; K e y & g t ; C o l u m n s \ M o s t   R e c e n t   S c h o o l   C o n s t r u c t i o n & l t ; / K e y & g t ; & l t ; / a : K e y & g t ; & l t ; a : V a l u e   i : t y p e = " T a b l e W i d g e t B a s e V i e w S t a t e " / & g t ; & l t ; / a : K e y V a l u e O f D i a g r a m O b j e c t K e y a n y T y p e z b w N T n L X & g t ; & l t ; a : K e y V a l u e O f D i a g r a m O b j e c t K e y a n y T y p e z b w N T n L X & g t ; & l t ; a : K e y & g t ; & l t ; K e y & g t ; C o l u m n s \ M o s t   R e c e n t   S u c c e s s f u l   B o n d   R e f e r e n d u m   f o r   S c h o o l s & l t ; / K e y & g t ; & l t ; / a : K e y & g t ; & l t ; a : V a l u e   i : t y p e = " T a b l e W i d g e t B a s e V i e w S t a t e " / & g t ; & l t ; / a : K e y V a l u e O f D i a g r a m O b j e c t K e y a n y T y p e z b w N T n L X & g t ; & l t ; a : K e y V a l u e O f D i a g r a m O b j e c t K e y a n y T y p e z b w N T n L X & g t ; & l t ; a : K e y & g t ; & l t ; K e y & g t ; C o l u m n s \ C o l u m n 5 & l t ; / K e y & g t ; & l t ; / a : K e y & g t ; & l t ; a : V a l u e   i : t y p e = " T a b l e W i d g e t B a s e V i e w S t a t e " / & g t ; & l t ; / a : K e y V a l u e O f D i a g r a m O b j e c t K e y a n y T y p e z b w N T n L X & g t ; & l t ; a : K e y V a l u e O f D i a g r a m O b j e c t K e y a n y T y p e z b w N T n L X & g t ; & l t ; a : K e y & g t ; & l t ; K e y & g t ; C o l u m n s \ C o l u m n 6 & l t ; / K e y & g t ; & l t ; / a : K e y & g t ; & l t ; a : V a l u e   i : t y p e = " T a b l e W i d g e t B a s e V i e w S t a t e " / & g t ; & l t ; / a : K e y V a l u e O f D i a g r a m O b j e c t K e y a n y T y p e z b w N T n L X & g t ; & l t ; a : K e y V a l u e O f D i a g r a m O b j e c t K e y a n y T y p e z b w N T n L X & g t ; & l t ; a : K e y & g t ; & l t ; K e y & g t ; C o l u m n s \ C o l u m n 7 & 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13.xml>��< ? x m l   v e r s i o n = " 1 . 0 "   e n c o d i n g = " U T F - 1 6 " ? > < G e m i n i   x m l n s = " h t t p : / / g e m i n i / p i v o t c u s t o m i z a t i o n / T a b l e C o u n t I n S a n d b o x " > < C u s t o m C o n t e n t > 2 < / C u s t o m C o n t e n t > < / G e m i n i > 
</file>

<file path=customXml/item14.xml>��< ? x m l   v e r s i o n = " 1 . 0 "   e n c o d i n g = " U T F - 1 6 " ? > < G e m i n i   x m l n s = " h t t p : / / g e m i n i / p i v o t c u s t o m i z a t i o n / S h o w H i d d e n " > < C u s t o m C o n t e n t > < ! [ C D A T A [ T r u 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 C o l u m n 1 < / s t r i n g > < / k e y > < v a l u e > < i n t > 1 1 2 < / i n t > < / v a l u e > < / i t e m > < i t e m > < k e y > < s t r i n g > C o l u m n 2 < / s t r i n g > < / k e y > < v a l u e > < i n t > 1 1 2 < / i n t > < / v a l u e > < / i t e m > < i t e m > < k e y > < s t r i n g > C o l u m n 3 < / s t r i n g > < / k e y > < v a l u e > < i n t > 1 1 2 < / i n t > < / v a l u e > < / i t e m > < i t e m > < k e y > < s t r i n g > C o l u m n 4 < / s t r i n g > < / k e y > < v a l u e > < i n t > 1 1 2 < / i n t > < / v a l u e > < / i t e m > < i t e m > < k e y > < s t r i n g > C o l u m n 5 < / s t r i n g > < / k e y > < v a l u e > < i n t > 1 1 2 < / i n t > < / v a l u e > < / i t e m > < i t e m > < k e y > < s t r i n g > C o l u m n 6 < / s t r i n g > < / k e y > < v a l u e > < i n t > 1 1 2 < / i n t > < / v a l u e > < / i t e m > < i t e m > < k e y > < s t r i n g > C o l u m n 7 < / s t r i n g > < / k e y > < v a l u e > < i n t > 1 1 2 < / i n t > < / v a l u e > < / i t e m > < / C o l u m n W i d t h s > < C o l u m n D i s p l a y I n d e x > < i t e m > < k e y > < s t r i n g > C o l u m n 1 < / s t r i n g > < / k e y > < v a l u e > < i n t > 0 < / i n t > < / v a l u e > < / i t e m > < i t e m > < k e y > < s t r i n g > C o l u m n 2 < / s t r i n g > < / k e y > < v a l u e > < i n t > 1 < / i n t > < / v a l u e > < / i t e m > < i t e m > < k e y > < s t r i n g > C o l u m n 3 < / s t r i n g > < / k e y > < v a l u e > < i n t > 2 < / i n t > < / v a l u e > < / i t e m > < i t e m > < k e y > < s t r i n g > C o l u m n 4 < / s t r i n g > < / k e y > < v a l u e > < i n t > 3 < / i n t > < / v a l u e > < / i t e m > < i t e m > < k e y > < s t r i n g > C o l u m n 5 < / s t r i n g > < / k e y > < v a l u e > < i n t > 4 < / i n t > < / v a l u e > < / i t e m > < i t e m > < k e y > < s t r i n g > C o l u m n 6 < / s t r i n g > < / k e y > < v a l u e > < i n t > 5 < / i n t > < / v a l u e > < / i t e m > < i t e m > < k e y > < s t r i n g > C o l u m n 7 < / s t r i n g > < / k e y > < v a l u e > < i n t > 6 < / 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S a n d b o x N o n E m p t y " > < C u s t o m C o n t e n t > < ! [ C D A T A [ 1 ] ] > < / C u s t o m C o n t e n t > < / G e m i n i > 
</file>

<file path=customXml/item18.xml>��< ? x m l   v e r s i o n = " 1 . 0 "   e n c o d i n g = " U T F - 1 6 " ? > < G e m i n i   x m l n s = " h t t p : / / g e m i n i / p i v o t c u s t o m i z a t i o n / T a b l e O r d e r " > < C u s t o m C o n t e n t > T a b l e 1 , T a b l e 2 < / C u s t o m C o n t e n t > < / G e m i n i > 
</file>

<file path=customXml/item19.xml>��< ? x m l   v e r s i o n = " 1 . 0 "   e n c o d i n g = " U T F - 1 6 " ? > < G e m i n i   x m l n s = " h t t p : / / g e m i n i / p i v o t c u s t o m i z a t i o n / I s S a n d b o x E m b e d d e d " > < C u s t o m C o n t e n t > < ! [ C D A T A [ y e s ] ] > < / C u s t o m C o n t e n t > < / G e m i n i > 
</file>

<file path=customXml/item2.xml>��< ? x m l   v e r s i o n = " 1 . 0 "   e n c o d i n g = " U T F - 1 6 " ? > < G e m i n i   x m l n s = " h t t p : / / g e m i n i / p i v o t c u s t o m i z a t i o n / P o w e r P i v o t V e r s i o n " > < C u s t o m C o n t e n t > < ! [ C D A T A [ 1 1 . 0 . 9 1 6 6 . 1 8 3 ] ] > < / 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4.xml>��< ? x m l   v e r s i o n = " 1 . 0 "   e n c o d i n g = " U T F - 1 6 " ? > < G e m i n i   x m l n s = " h t t p : / / g e m i n i / p i v o t c u s t o m i z a t i o n / C l i e n t W i n d o w X M L " > < C u s t o m C o n t e n t > T a b l e 2 < / 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 2 0 1 7 - 0 9 - 1 8 T 1 7 : 2 9 : 1 1 . 0 5 0 9 6 8 1 - 0 4 : 0 0 < / L a s t P r o c e s s e d T i m e > < / D a t a M o d e l i n g S a n d b o x . S e r i a l i z e d S a n d b o x E r r o r C a c h 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l e 1 & l t ; / K e y & g t ; & l t ; V a l u e   x m l n s : a = " h t t p : / / s c h e m a s . d a t a c o n t r a c t . o r g / 2 0 0 4 / 0 7 / M i c r o s o f t . A n a l y s i s S e r v i c e s . C o m m o n " & g t ; & l t ; a : H a s F o c u s & g t ; t r u e & l t ; / a : H a s F o c u s & g t ; & l t ; a : S i z e A t D p i 9 6 & g t ; 1 3 2 & l t ; / a : S i z e A t D p i 9 6 & g t ; & l t ; a : V i s i b l e & g t ; t r u e & l t ; / a : V i s i b l e & g t ; & l t ; / V a l u e & g t ; & l t ; / K e y V a l u e O f s t r i n g S a n d b o x E d i t o r . M e a s u r e G r i d S t a t e S c d E 3 5 R y & g t ; & l t ; K e y V a l u e O f s t r i n g S a n d b o x E d i t o r . M e a s u r e G r i d S t a t e S c d E 3 5 R y & g t ; & l t ; K e y & g t ; T a b l e 2 & l t ; / K e y & g t ; & l t ; V a l u e   x m l n s : a = " h t t p : / / s c h e m a s . d a t a c o n t r a c t . o r g / 2 0 0 4 / 0 7 / M i c r o s o f t . A n a l y s i s S e r v i c e s . C o m m o n " & g t ; & l t ; a : H a s F o c u s & g t ; t r u e & l t ; / a : H a s F o c u s & g t ; & l t ; a : S i z e A t D p i 9 6 & g t ; 1 2 6 & l t ; / a : S i z e A t D p i 9 6 & g t ; & l t ; a : V i s i b l e & g t ; t r u e & l t ; / a : V i s i b l e & g t ; & l t ; / V a l u e & g t ; & l t ; / K e y V a l u e O f s t r i n g S a n d b o x E d i t o r . M e a s u r e G r i d S t a t e S c d E 3 5 R y & g t ; & l t ; / A r r a y O f K e y V a l u e O f s t r i n g S a n d b o x E d i t o r . M e a s u r e G r i d S t a t e S c d E 3 5 R y & g t ; < / C u s t o m C o n t e n t > < / G e m i n i > 
</file>

<file path=customXml/item8.xml>��< ? x m l   v e r s i o n = " 1 . 0 "   e n c o d i n g = " U T F - 1 6 " ? > < G e m i n i   x m l n s = " h t t p : / / g e m i n i / p i v o t c u s t o m i z a t i o n / L i n k e d T a b l e s " > < C u s t o m C o n t e n t > < ! [ C D A T A [ < L i n k e d T a b l e s   x m l n s : x s i = " h t t p : / / w w w . w 3 . o r g / 2 0 0 1 / X M L S c h e m a - i n s t a n c e "   x m l n s : x s d = " h t t p : / / w w w . w 3 . o r g / 2 0 0 1 / X M L S c h e m a " > < L i n k e d T a b l e L i s t > < L i n k e d T a b l e I n f o > < E x c e l T a b l e N a m e > T a b l e 1 < / E x c e l T a b l e N a m e > < G e m i n i T a b l e I d > T a b l e 1 < / G e m i n i T a b l e I d > < L i n k e d C o l u m n L i s t   / > < U p d a t e N e e d e d > f a l s e < / U p d a t e N e e d e d > < R o w C o u n t > 0 < / R o w C o u n t > < / L i n k e d T a b l e I n f o > < L i n k e d T a b l e I n f o > < E x c e l T a b l e N a m e > T a b l e 2 < / E x c e l T a b l e N a m e > < G e m i n i T a b l e I d > T a b l e 2 < / G e m i n i T a b l e I d > < L i n k e d C o l u m n L i s t   / > < U p d a t e N e e d e d > t r u e < / U p d a t e N e e d e d > < R o w C o u n t > 0 < / R o w C o u n t > < / L i n k e d T a b l e I n f o > < / L i n k e d T a b l e L i s t > < / L i n k e d T a b l e s > ] ] > < / C u s t o m C o n t e n t > < / G e m i n i > 
</file>

<file path=customXml/item9.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l e 1 & 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 i : t y p e = " S a n d b o x E d i t o r M e a s u r e G r i d K e y " & g t ; & l t ; T a b l e N a m e & g t ; T a b l e 1 & l t ; / T a b l e N a m e & g t ; & l t ; / K e y & g t ; & l t ; M a i n t a i n e r 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C o l u m n 1 & l t ; / K e y & g t ; & l t ; / D i a g r a m O b j e c t K e y & g t ; & l t ; D i a g r a m O b j e c t K e y & g t ; & l t ; K e y & g t ; C o l u m n s \ C o l u m n 2 & l t ; / K e y & g t ; & l t ; / D i a g r a m O b j e c t K e y & g t ; & l t ; D i a g r a m O b j e c t K e y & g t ; & l t ; K e y & g t ; C o l u m n s \ C o l u m n 3 & l t ; / K e y & g t ; & l t ; / D i a g r a m O b j e c t K e y & g t ; & l t ; D i a g r a m O b j e c t K e y & g t ; & l t ; K e y & g t ; C o l u m n s \ C o l u m n 4 & l t ; / K e y & g t ; & l t ; / D i a g r a m O b j e c t K e y & g t ; & l t ; D i a g r a m O b j e c t K e y & g t ; & l t ; K e y & g t ; C o l u m n s \ C o l u m n 5 & l t ; / K e y & g t ; & l t ; / D i a g r a m O b j e c t K e y & g t ; & l t ; D i a g r a m O b j e c t K e y & g t ; & l t ; K e y & g t ; C o l u m n s \ C o l u m n 6 & l t ; / K e y & g t ; & l t ; / D i a g r a m O b j e c t K e y & g t ; & l t ; D i a g r a m O b j e c t K e y & g t ; & l t ; K e y & g t ; C o l u m n s \ C o l u m n 7 & l t ; / K e y & g t ; & l t ; / D i a g r a m O b j e c t K e y & g t ; & l t ; D i a g r a m O b j e c t K e y & g t ; & l t ; K e y & g t ; C o l u m n s \ C o l u m n 8 & l t ; / K e y & g t ; & l t ; / D i a g r a m O b j e c t K e y & g t ; & l t ; D i a g r a m O b j e c t K e y & g t ; & l t ; K e y & g t ; C o l u m n s \ C o l u m n 9 & l t ; / K e y & g t ; & l t ; / D i a g r a m O b j e c t K e y & g t ; & l t ; D i a g r a m O b j e c t K e y & g t ; & l t ; K e y & g t ; C o l u m n s \ C o l u m n 1 0 & l t ; / K e y & g t ; & l t ; / D i a g r a m O b j e c t K e y & g t ; & l t ; D i a g r a m O b j e c t K e y & g t ; & l t ; K e y & g t ; C o l u m n s \ C o l u m n 1 1 & l t ; / K e y & g t ; & l t ; / D i a g r a m O b j e c t K e y & g t ; & l t ; D i a g r a m O b j e c t K e y & g t ; & l t ; K e y & g t ; C o l u m n s \ C o l u m n 1 2 & l t ; / K e y & g t ; & l t ; / D i a g r a m O b j e c t K e y & g t ; & l t ; D i a g r a m O b j e c t K e y & g t ; & l t ; K e y & g t ; C o l u m n s \ C o l u m n 1 3 & l t ; / K e y & g t ; & l t ; / D i a g r a m O b j e c t K e y & g t ; & l t ; D i a g r a m O b j e c t K e y & g t ; & l t ; K e y & g t ; C o l u m n s \ C o l u m n 1 4 & l t ; / K e y & g t ; & l t ; / D i a g r a m O b j e c t K e y & g t ; & l t ; D i a g r a m O b j e c t K e y & g t ; & l t ; K e y & g t ; C o l u m n s \ C o l u m n 1 5 & l t ; / K e y & g t ; & l t ; / D i a g r a m O b j e c t K e y & g t ; & l t ; D i a g r a m O b j e c t K e y & g t ; & l t ; K e y & g t ; C o l u m n s \ C o l u m n 1 6 & l t ; / K e y & g t ; & l t ; / D i a g r a m O b j e c t K e y & g t ; & l t ; D i a g r a m O b j e c t K e y & g t ; & l t ; K e y & g t ; C o l u m n s \ C o l u m n 1 7 & l t ; / K e y & g t ; & l t ; / D i a g r a m O b j e c t K e y & g t ; & l t ; D i a g r a m O b j e c t K e y & g t ; & l t ; K e y & g t ; C o l u m n s \ C o l u m n 1 8 & 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C o l u m n 1 & l t ; / K e y & g t ; & l t ; / a : K e y & g t ; & l t ; a : V a l u e   i : t y p e = " M e a s u r e G r i d N o d e V i e w S t a t e " & g t ; & l t ; L a y e d O u t & g t ; t r u e & l t ; / L a y e d O u t & g t ; & l t ; / a : V a l u e & g t ; & l t ; / a : K e y V a l u e O f D i a g r a m O b j e c t K e y a n y T y p e z b w N T n L X & g t ; & l t ; a : K e y V a l u e O f D i a g r a m O b j e c t K e y a n y T y p e z b w N T n L X & g t ; & l t ; a : K e y & g t ; & l t ; K e y & g t ; C o l u m n s \ C o l u m n 2 & l t ; / K e y & g t ; & l t ; / a : K e y & g t ; & l t ; a : V a l u e   i : t y p e = " M e a s u r e G r i d N o d e V i e w S t a t e " & g t ; & l t ; C o l u m n & g t ; 1 & l t ; / C o l u m n & g t ; & l t ; L a y e d O u t & g t ; t r u e & l t ; / L a y e d O u t & g t ; & l t ; / a : V a l u e & g t ; & l t ; / a : K e y V a l u e O f D i a g r a m O b j e c t K e y a n y T y p e z b w N T n L X & g t ; & l t ; a : K e y V a l u e O f D i a g r a m O b j e c t K e y a n y T y p e z b w N T n L X & g t ; & l t ; a : K e y & g t ; & l t ; K e y & g t ; C o l u m n s \ C o l u m n 3 & l t ; / K e y & g t ; & l t ; / a : K e y & g t ; & l t ; a : V a l u e   i : t y p e = " M e a s u r e G r i d N o d e V i e w S t a t e " & g t ; & l t ; C o l u m n & g t ; 2 & l t ; / C o l u m n & g t ; & l t ; L a y e d O u t & g t ; t r u e & l t ; / L a y e d O u t & g t ; & l t ; / a : V a l u e & g t ; & l t ; / a : K e y V a l u e O f D i a g r a m O b j e c t K e y a n y T y p e z b w N T n L X & g t ; & l t ; a : K e y V a l u e O f D i a g r a m O b j e c t K e y a n y T y p e z b w N T n L X & g t ; & l t ; a : K e y & g t ; & l t ; K e y & g t ; C o l u m n s \ C o l u m n 4 & l t ; / K e y & g t ; & l t ; / a : K e y & g t ; & l t ; a : V a l u e   i : t y p e = " M e a s u r e G r i d N o d e V i e w S t a t e " & g t ; & l t ; C o l u m n & g t ; 3 & l t ; / C o l u m n & g t ; & l t ; L a y e d O u t & g t ; t r u e & l t ; / L a y e d O u t & g t ; & l t ; / a : V a l u e & g t ; & l t ; / a : K e y V a l u e O f D i a g r a m O b j e c t K e y a n y T y p e z b w N T n L X & g t ; & l t ; a : K e y V a l u e O f D i a g r a m O b j e c t K e y a n y T y p e z b w N T n L X & g t ; & l t ; a : K e y & g t ; & l t ; K e y & g t ; C o l u m n s \ C o l u m n 5 & l t ; / K e y & g t ; & l t ; / a : K e y & g t ; & l t ; a : V a l u e   i : t y p e = " M e a s u r e G r i d N o d e V i e w S t a t e " & g t ; & l t ; C o l u m n & g t ; 4 & l t ; / C o l u m n & g t ; & l t ; L a y e d O u t & g t ; t r u e & l t ; / L a y e d O u t & g t ; & l t ; / a : V a l u e & g t ; & l t ; / a : K e y V a l u e O f D i a g r a m O b j e c t K e y a n y T y p e z b w N T n L X & g t ; & l t ; a : K e y V a l u e O f D i a g r a m O b j e c t K e y a n y T y p e z b w N T n L X & g t ; & l t ; a : K e y & g t ; & l t ; K e y & g t ; C o l u m n s \ C o l u m n 6 & l t ; / K e y & g t ; & l t ; / a : K e y & g t ; & l t ; a : V a l u e   i : t y p e = " M e a s u r e G r i d N o d e V i e w S t a t e " & g t ; & l t ; C o l u m n & g t ; 5 & l t ; / C o l u m n & g t ; & l t ; L a y e d O u t & g t ; t r u e & l t ; / L a y e d O u t & g t ; & l t ; / a : V a l u e & g t ; & l t ; / a : K e y V a l u e O f D i a g r a m O b j e c t K e y a n y T y p e z b w N T n L X & g t ; & l t ; a : K e y V a l u e O f D i a g r a m O b j e c t K e y a n y T y p e z b w N T n L X & g t ; & l t ; a : K e y & g t ; & l t ; K e y & g t ; C o l u m n s \ C o l u m n 7 & l t ; / K e y & g t ; & l t ; / a : K e y & g t ; & l t ; a : V a l u e   i : t y p e = " M e a s u r e G r i d N o d e V i e w S t a t e " & g t ; & l t ; C o l u m n & g t ; 6 & l t ; / C o l u m n & g t ; & l t ; L a y e d O u t & g t ; t r u e & l t ; / L a y e d O u t & g t ; & l t ; / a : V a l u e & g t ; & l t ; / a : K e y V a l u e O f D i a g r a m O b j e c t K e y a n y T y p e z b w N T n L X & g t ; & l t ; a : K e y V a l u e O f D i a g r a m O b j e c t K e y a n y T y p e z b w N T n L X & g t ; & l t ; a : K e y & g t ; & l t ; K e y & g t ; C o l u m n s \ C o l u m n 8 & l t ; / K e y & g t ; & l t ; / a : K e y & g t ; & l t ; a : V a l u e   i : t y p e = " M e a s u r e G r i d N o d e V i e w S t a t e " & g t ; & l t ; C o l u m n & g t ; 7 & l t ; / C o l u m n & g t ; & l t ; L a y e d O u t & g t ; t r u e & l t ; / L a y e d O u t & g t ; & l t ; / a : V a l u e & g t ; & l t ; / a : K e y V a l u e O f D i a g r a m O b j e c t K e y a n y T y p e z b w N T n L X & g t ; & l t ; a : K e y V a l u e O f D i a g r a m O b j e c t K e y a n y T y p e z b w N T n L X & g t ; & l t ; a : K e y & g t ; & l t ; K e y & g t ; C o l u m n s \ C o l u m n 9 & l t ; / K e y & g t ; & l t ; / a : K e y & g t ; & l t ; a : V a l u e   i : t y p e = " M e a s u r e G r i d N o d e V i e w S t a t e " & g t ; & l t ; C o l u m n & g t ; 8 & l t ; / C o l u m n & g t ; & l t ; L a y e d O u t & g t ; t r u e & l t ; / L a y e d O u t & g t ; & l t ; / a : V a l u e & g t ; & l t ; / a : K e y V a l u e O f D i a g r a m O b j e c t K e y a n y T y p e z b w N T n L X & g t ; & l t ; a : K e y V a l u e O f D i a g r a m O b j e c t K e y a n y T y p e z b w N T n L X & g t ; & l t ; a : K e y & g t ; & l t ; K e y & g t ; C o l u m n s \ C o l u m n 1 0 & l t ; / K e y & g t ; & l t ; / a : K e y & g t ; & l t ; a : V a l u e   i : t y p e = " M e a s u r e G r i d N o d e V i e w S t a t e " & g t ; & l t ; C o l u m n & g t ; 9 & l t ; / C o l u m n & g t ; & l t ; L a y e d O u t & g t ; t r u e & l t ; / L a y e d O u t & g t ; & l t ; / a : V a l u e & g t ; & l t ; / a : K e y V a l u e O f D i a g r a m O b j e c t K e y a n y T y p e z b w N T n L X & g t ; & l t ; a : K e y V a l u e O f D i a g r a m O b j e c t K e y a n y T y p e z b w N T n L X & g t ; & l t ; a : K e y & g t ; & l t ; K e y & g t ; C o l u m n s \ C o l u m n 1 1 & l t ; / K e y & g t ; & l t ; / a : K e y & g t ; & l t ; a : V a l u e   i : t y p e = " M e a s u r e G r i d N o d e V i e w S t a t e " & g t ; & l t ; C o l u m n & g t ; 1 0 & l t ; / C o l u m n & g t ; & l t ; L a y e d O u t & g t ; t r u e & l t ; / L a y e d O u t & g t ; & l t ; / a : V a l u e & g t ; & l t ; / a : K e y V a l u e O f D i a g r a m O b j e c t K e y a n y T y p e z b w N T n L X & g t ; & l t ; a : K e y V a l u e O f D i a g r a m O b j e c t K e y a n y T y p e z b w N T n L X & g t ; & l t ; a : K e y & g t ; & l t ; K e y & g t ; C o l u m n s \ C o l u m n 1 2 & l t ; / K e y & g t ; & l t ; / a : K e y & g t ; & l t ; a : V a l u e   i : t y p e = " M e a s u r e G r i d N o d e V i e w S t a t e " & g t ; & l t ; C o l u m n & g t ; 1 1 & l t ; / C o l u m n & g t ; & l t ; L a y e d O u t & g t ; t r u e & l t ; / L a y e d O u t & g t ; & l t ; / a : V a l u e & g t ; & l t ; / a : K e y V a l u e O f D i a g r a m O b j e c t K e y a n y T y p e z b w N T n L X & g t ; & l t ; a : K e y V a l u e O f D i a g r a m O b j e c t K e y a n y T y p e z b w N T n L X & g t ; & l t ; a : K e y & g t ; & l t ; K e y & g t ; C o l u m n s \ C o l u m n 1 3 & l t ; / K e y & g t ; & l t ; / a : K e y & g t ; & l t ; a : V a l u e   i : t y p e = " M e a s u r e G r i d N o d e V i e w S t a t e " & g t ; & l t ; C o l u m n & g t ; 1 2 & l t ; / C o l u m n & g t ; & l t ; L a y e d O u t & g t ; t r u e & l t ; / L a y e d O u t & g t ; & l t ; / a : V a l u e & g t ; & l t ; / a : K e y V a l u e O f D i a g r a m O b j e c t K e y a n y T y p e z b w N T n L X & g t ; & l t ; a : K e y V a l u e O f D i a g r a m O b j e c t K e y a n y T y p e z b w N T n L X & g t ; & l t ; a : K e y & g t ; & l t ; K e y & g t ; C o l u m n s \ C o l u m n 1 4 & l t ; / K e y & g t ; & l t ; / a : K e y & g t ; & l t ; a : V a l u e   i : t y p e = " M e a s u r e G r i d N o d e V i e w S t a t e " & g t ; & l t ; C o l u m n & g t ; 1 3 & l t ; / C o l u m n & g t ; & l t ; L a y e d O u t & g t ; t r u e & l t ; / L a y e d O u t & g t ; & l t ; / a : V a l u e & g t ; & l t ; / a : K e y V a l u e O f D i a g r a m O b j e c t K e y a n y T y p e z b w N T n L X & g t ; & l t ; a : K e y V a l u e O f D i a g r a m O b j e c t K e y a n y T y p e z b w N T n L X & g t ; & l t ; a : K e y & g t ; & l t ; K e y & g t ; C o l u m n s \ C o l u m n 1 5 & l t ; / K e y & g t ; & l t ; / a : K e y & g t ; & l t ; a : V a l u e   i : t y p e = " M e a s u r e G r i d N o d e V i e w S t a t e " & g t ; & l t ; C o l u m n & g t ; 1 4 & l t ; / C o l u m n & g t ; & l t ; L a y e d O u t & g t ; t r u e & l t ; / L a y e d O u t & g t ; & l t ; / a : V a l u e & g t ; & l t ; / a : K e y V a l u e O f D i a g r a m O b j e c t K e y a n y T y p e z b w N T n L X & g t ; & l t ; a : K e y V a l u e O f D i a g r a m O b j e c t K e y a n y T y p e z b w N T n L X & g t ; & l t ; a : K e y & g t ; & l t ; K e y & g t ; C o l u m n s \ C o l u m n 1 6 & l t ; / K e y & g t ; & l t ; / a : K e y & g t ; & l t ; a : V a l u e   i : t y p e = " M e a s u r e G r i d N o d e V i e w S t a t e " & g t ; & l t ; C o l u m n & g t ; 1 5 & l t ; / C o l u m n & g t ; & l t ; L a y e d O u t & g t ; t r u e & l t ; / L a y e d O u t & g t ; & l t ; / a : V a l u e & g t ; & l t ; / a : K e y V a l u e O f D i a g r a m O b j e c t K e y a n y T y p e z b w N T n L X & g t ; & l t ; a : K e y V a l u e O f D i a g r a m O b j e c t K e y a n y T y p e z b w N T n L X & g t ; & l t ; a : K e y & g t ; & l t ; K e y & g t ; C o l u m n s \ C o l u m n 1 7 & l t ; / K e y & g t ; & l t ; / a : K e y & g t ; & l t ; a : V a l u e   i : t y p e = " M e a s u r e G r i d N o d e V i e w S t a t e " & g t ; & l t ; C o l u m n & g t ; 1 6 & l t ; / C o l u m n & g t ; & l t ; L a y e d O u t & g t ; t r u e & l t ; / L a y e d O u t & g t ; & l t ; / a : V a l u e & g t ; & l t ; / a : K e y V a l u e O f D i a g r a m O b j e c t K e y a n y T y p e z b w N T n L X & g t ; & l t ; a : K e y V a l u e O f D i a g r a m O b j e c t K e y a n y T y p e z b w N T n L X & g t ; & l t ; a : K e y & g t ; & l t ; K e y & g t ; C o l u m n s \ C o l u m n 1 8 & l t ; / K e y & g t ; & l t ; / a : K e y & g t ; & l t ; a : V a l u e   i : t y p e = " M e a s u r e G r i d N o d e V i e w S t a t e " & g t ; & l t ; C o l u m n & g t ; 1 7 & l t ; / C o l u m n & g t ; & l t ; L a y e d O u t & g t ; t r u e & l t ; / L a y e d O u t & g t ; & l t ; / a : V a l u e & g t ; & l t ; / a : K e y V a l u e O f D i a g r a m O b j e c t K e y a n y T y p e z b w N T n L X & g t ; & l t ; / V i e w S t a t e s & g t ; & l t ; / D i a g r a m M a n a g e r . S e r i a l i z a b l e D i a g r a m & g t ; & l t ; D i a g r a m M a n a g e r . S e r i a l i z a b l e D i a g r a m & g t ; & l t ; A d a p t e r   i : t y p e = " M e a s u r e D i a g r a m S a n d b o x A d a p t e r " & g t ; & l t ; T a b l e N a m e & g t ; T a b l e 2 & 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 i : t y p e = " S a n d b o x E d i t o r M e a s u r e G r i d K e y " & g t ; & l t ; T a b l e N a m e & g t ; T a b l e 2 & l t ; / T a b l e N a m e & g t ; & l t ; / K e y & g t ; & l t ; M a i n t a i n e r 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C o l u m n 1 & l t ; / K e y & g t ; & l t ; / D i a g r a m O b j e c t K e y & g t ; & l t ; D i a g r a m O b j e c t K e y & g t ; & l t ; K e y & g t ; C o l u m n s \ C o l u m n 2 & l t ; / K e y & g t ; & l t ; / D i a g r a m O b j e c t K e y & g t ; & l t ; D i a g r a m O b j e c t K e y & g t ; & l t ; K e y & g t ; C o l u m n s \ C o l u m n 3 & l t ; / K e y & g t ; & l t ; / D i a g r a m O b j e c t K e y & g t ; & l t ; D i a g r a m O b j e c t K e y & g t ; & l t ; K e y & g t ; C o l u m n s \ C o l u m n 4 & l t ; / K e y & g t ; & l t ; / D i a g r a m O b j e c t K e y & g t ; & l t ; D i a g r a m O b j e c t K e y & g t ; & l t ; K e y & g t ; C o l u m n s \ C o l u m n 5 & l t ; / K e y & g t ; & l t ; / D i a g r a m O b j e c t K e y & g t ; & l t ; D i a g r a m O b j e c t K e y & g t ; & l t ; K e y & g t ; C o l u m n s \ C o l u m n 6 & l t ; / K e y & g t ; & l t ; / D i a g r a m O b j e c t K e y & g t ; & l t ; D i a g r a m O b j e c t K e y & g t ; & l t ; K e y & g t ; C o l u m n s \ C o l u m n 7 & 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C o l u m n 1 & l t ; / K e y & g t ; & l t ; / a : K e y & g t ; & l t ; a : V a l u e   i : t y p e = " M e a s u r e G r i d N o d e V i e w S t a t e " & g t ; & l t ; L a y e d O u t & g t ; t r u e & l t ; / L a y e d O u t & g t ; & l t ; / a : V a l u e & g t ; & l t ; / a : K e y V a l u e O f D i a g r a m O b j e c t K e y a n y T y p e z b w N T n L X & g t ; & l t ; a : K e y V a l u e O f D i a g r a m O b j e c t K e y a n y T y p e z b w N T n L X & g t ; & l t ; a : K e y & g t ; & l t ; K e y & g t ; C o l u m n s \ C o l u m n 2 & l t ; / K e y & g t ; & l t ; / a : K e y & g t ; & l t ; a : V a l u e   i : t y p e = " M e a s u r e G r i d N o d e V i e w S t a t e " & g t ; & l t ; C o l u m n & g t ; 1 & l t ; / C o l u m n & g t ; & l t ; L a y e d O u t & g t ; t r u e & l t ; / L a y e d O u t & g t ; & l t ; / a : V a l u e & g t ; & l t ; / a : K e y V a l u e O f D i a g r a m O b j e c t K e y a n y T y p e z b w N T n L X & g t ; & l t ; a : K e y V a l u e O f D i a g r a m O b j e c t K e y a n y T y p e z b w N T n L X & g t ; & l t ; a : K e y & g t ; & l t ; K e y & g t ; C o l u m n s \ C o l u m n 3 & l t ; / K e y & g t ; & l t ; / a : K e y & g t ; & l t ; a : V a l u e   i : t y p e = " M e a s u r e G r i d N o d e V i e w S t a t e " & g t ; & l t ; C o l u m n & g t ; 2 & l t ; / C o l u m n & g t ; & l t ; L a y e d O u t & g t ; t r u e & l t ; / L a y e d O u t & g t ; & l t ; / a : V a l u e & g t ; & l t ; / a : K e y V a l u e O f D i a g r a m O b j e c t K e y a n y T y p e z b w N T n L X & g t ; & l t ; a : K e y V a l u e O f D i a g r a m O b j e c t K e y a n y T y p e z b w N T n L X & g t ; & l t ; a : K e y & g t ; & l t ; K e y & g t ; C o l u m n s \ C o l u m n 4 & l t ; / K e y & g t ; & l t ; / a : K e y & g t ; & l t ; a : V a l u e   i : t y p e = " M e a s u r e G r i d N o d e V i e w S t a t e " & g t ; & l t ; C o l u m n & g t ; 3 & l t ; / C o l u m n & g t ; & l t ; L a y e d O u t & g t ; t r u e & l t ; / L a y e d O u t & g t ; & l t ; / a : V a l u e & g t ; & l t ; / a : K e y V a l u e O f D i a g r a m O b j e c t K e y a n y T y p e z b w N T n L X & g t ; & l t ; a : K e y V a l u e O f D i a g r a m O b j e c t K e y a n y T y p e z b w N T n L X & g t ; & l t ; a : K e y & g t ; & l t ; K e y & g t ; C o l u m n s \ C o l u m n 5 & l t ; / K e y & g t ; & l t ; / a : K e y & g t ; & l t ; a : V a l u e   i : t y p e = " M e a s u r e G r i d N o d e V i e w S t a t e " & g t ; & l t ; C o l u m n & g t ; 4 & l t ; / C o l u m n & g t ; & l t ; L a y e d O u t & g t ; t r u e & l t ; / L a y e d O u t & g t ; & l t ; / a : V a l u e & g t ; & l t ; / a : K e y V a l u e O f D i a g r a m O b j e c t K e y a n y T y p e z b w N T n L X & g t ; & l t ; a : K e y V a l u e O f D i a g r a m O b j e c t K e y a n y T y p e z b w N T n L X & g t ; & l t ; a : K e y & g t ; & l t ; K e y & g t ; C o l u m n s \ C o l u m n 6 & l t ; / K e y & g t ; & l t ; / a : K e y & g t ; & l t ; a : V a l u e   i : t y p e = " M e a s u r e G r i d N o d e V i e w S t a t e " & g t ; & l t ; C o l u m n & g t ; 5 & l t ; / C o l u m n & g t ; & l t ; L a y e d O u t & g t ; t r u e & l t ; / L a y e d O u t & g t ; & l t ; / a : V a l u e & g t ; & l t ; / a : K e y V a l u e O f D i a g r a m O b j e c t K e y a n y T y p e z b w N T n L X & g t ; & l t ; a : K e y V a l u e O f D i a g r a m O b j e c t K e y a n y T y p e z b w N T n L X & g t ; & l t ; a : K e y & g t ; & l t ; K e y & g t ; C o l u m n s \ C o l u m n 7 & l t ; / K e y & g t ; & l t ; / a : K e y & g t ; & l t ; a : V a l u e   i : t y p e = " M e a s u r e G r i d N o d e V i e w S t a t e " & g t ; & l t ; C o l u m n & g t ; 6 & l t ; / C o l u m n & g t ; & l t ; L a y e d O u t & g t ; t r u e & l t ; / L a y e d O u t & g t ; & l t ; / a : V a l u 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C8868BB2-C38D-4940-A047-A581015A841A}">
  <ds:schemaRefs/>
</ds:datastoreItem>
</file>

<file path=customXml/itemProps10.xml><?xml version="1.0" encoding="utf-8"?>
<ds:datastoreItem xmlns:ds="http://schemas.openxmlformats.org/officeDocument/2006/customXml" ds:itemID="{73CA4DE5-B8FA-4519-82A5-555294CFD679}">
  <ds:schemaRefs/>
</ds:datastoreItem>
</file>

<file path=customXml/itemProps11.xml><?xml version="1.0" encoding="utf-8"?>
<ds:datastoreItem xmlns:ds="http://schemas.openxmlformats.org/officeDocument/2006/customXml" ds:itemID="{249A8399-3F57-4956-AC71-673ED025E210}">
  <ds:schemaRefs/>
</ds:datastoreItem>
</file>

<file path=customXml/itemProps12.xml><?xml version="1.0" encoding="utf-8"?>
<ds:datastoreItem xmlns:ds="http://schemas.openxmlformats.org/officeDocument/2006/customXml" ds:itemID="{1701CA4C-9735-49F8-85C3-1541F9B6B1ED}">
  <ds:schemaRefs/>
</ds:datastoreItem>
</file>

<file path=customXml/itemProps13.xml><?xml version="1.0" encoding="utf-8"?>
<ds:datastoreItem xmlns:ds="http://schemas.openxmlformats.org/officeDocument/2006/customXml" ds:itemID="{866AF8D0-F566-4A10-A145-AE86CEDF016D}">
  <ds:schemaRefs/>
</ds:datastoreItem>
</file>

<file path=customXml/itemProps14.xml><?xml version="1.0" encoding="utf-8"?>
<ds:datastoreItem xmlns:ds="http://schemas.openxmlformats.org/officeDocument/2006/customXml" ds:itemID="{039561DC-FA22-4F84-A104-EFEAB52E10F4}">
  <ds:schemaRefs/>
</ds:datastoreItem>
</file>

<file path=customXml/itemProps15.xml><?xml version="1.0" encoding="utf-8"?>
<ds:datastoreItem xmlns:ds="http://schemas.openxmlformats.org/officeDocument/2006/customXml" ds:itemID="{D3AA844D-D1A4-4CC5-B7A0-5EE6DDBB72DB}">
  <ds:schemaRefs/>
</ds:datastoreItem>
</file>

<file path=customXml/itemProps16.xml><?xml version="1.0" encoding="utf-8"?>
<ds:datastoreItem xmlns:ds="http://schemas.openxmlformats.org/officeDocument/2006/customXml" ds:itemID="{C01E6AF9-1F5D-4AE5-A618-D5CC99A81A04}">
  <ds:schemaRefs/>
</ds:datastoreItem>
</file>

<file path=customXml/itemProps17.xml><?xml version="1.0" encoding="utf-8"?>
<ds:datastoreItem xmlns:ds="http://schemas.openxmlformats.org/officeDocument/2006/customXml" ds:itemID="{EB93AF20-C1B6-420F-A14D-8C25A279A791}">
  <ds:schemaRefs/>
</ds:datastoreItem>
</file>

<file path=customXml/itemProps18.xml><?xml version="1.0" encoding="utf-8"?>
<ds:datastoreItem xmlns:ds="http://schemas.openxmlformats.org/officeDocument/2006/customXml" ds:itemID="{795D86DC-029D-47BC-87E1-D1812AE71BB7}">
  <ds:schemaRefs/>
</ds:datastoreItem>
</file>

<file path=customXml/itemProps19.xml><?xml version="1.0" encoding="utf-8"?>
<ds:datastoreItem xmlns:ds="http://schemas.openxmlformats.org/officeDocument/2006/customXml" ds:itemID="{19FA5311-443C-4244-B7D7-2EB839AFFE99}">
  <ds:schemaRefs/>
</ds:datastoreItem>
</file>

<file path=customXml/itemProps2.xml><?xml version="1.0" encoding="utf-8"?>
<ds:datastoreItem xmlns:ds="http://schemas.openxmlformats.org/officeDocument/2006/customXml" ds:itemID="{7D44BB9A-C229-493D-BD3A-71F25709F8F6}">
  <ds:schemaRefs/>
</ds:datastoreItem>
</file>

<file path=customXml/itemProps3.xml><?xml version="1.0" encoding="utf-8"?>
<ds:datastoreItem xmlns:ds="http://schemas.openxmlformats.org/officeDocument/2006/customXml" ds:itemID="{2292078C-9CBE-4534-AC9F-D606DAA69AAA}">
  <ds:schemaRefs/>
</ds:datastoreItem>
</file>

<file path=customXml/itemProps4.xml><?xml version="1.0" encoding="utf-8"?>
<ds:datastoreItem xmlns:ds="http://schemas.openxmlformats.org/officeDocument/2006/customXml" ds:itemID="{F2104731-E311-4961-8EA8-EE214FFB24B1}">
  <ds:schemaRefs/>
</ds:datastoreItem>
</file>

<file path=customXml/itemProps5.xml><?xml version="1.0" encoding="utf-8"?>
<ds:datastoreItem xmlns:ds="http://schemas.openxmlformats.org/officeDocument/2006/customXml" ds:itemID="{C31B1BAA-FC6D-41D4-B853-0292A0D00E0D}">
  <ds:schemaRefs/>
</ds:datastoreItem>
</file>

<file path=customXml/itemProps6.xml><?xml version="1.0" encoding="utf-8"?>
<ds:datastoreItem xmlns:ds="http://schemas.openxmlformats.org/officeDocument/2006/customXml" ds:itemID="{37CBEDF0-7B61-4273-9A2C-05D8293F4ADE}">
  <ds:schemaRefs/>
</ds:datastoreItem>
</file>

<file path=customXml/itemProps7.xml><?xml version="1.0" encoding="utf-8"?>
<ds:datastoreItem xmlns:ds="http://schemas.openxmlformats.org/officeDocument/2006/customXml" ds:itemID="{DA5AE300-3D78-482A-9022-01BC030A19B6}">
  <ds:schemaRefs/>
</ds:datastoreItem>
</file>

<file path=customXml/itemProps8.xml><?xml version="1.0" encoding="utf-8"?>
<ds:datastoreItem xmlns:ds="http://schemas.openxmlformats.org/officeDocument/2006/customXml" ds:itemID="{3B721FDB-6FA2-453E-9959-AE0F24BA11BF}">
  <ds:schemaRefs/>
</ds:datastoreItem>
</file>

<file path=customXml/itemProps9.xml><?xml version="1.0" encoding="utf-8"?>
<ds:datastoreItem xmlns:ds="http://schemas.openxmlformats.org/officeDocument/2006/customXml" ds:itemID="{CD1BC026-3023-405F-8A56-5D6FBBF573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Guide</vt:lpstr>
      <vt:lpstr>Sources</vt:lpstr>
      <vt:lpstr>Comparisons across LEAs</vt:lpstr>
      <vt:lpstr>Comparisons Across LEAs 2</vt:lpstr>
      <vt:lpstr>SS Cap Fin Cover Sheet</vt:lpstr>
      <vt:lpstr>School System Cap Summary</vt:lpstr>
      <vt:lpstr>School Capital Request History</vt:lpstr>
      <vt:lpstr>County Capital History</vt:lpstr>
      <vt:lpstr>Annual Maintenance Comparison</vt:lpstr>
      <vt:lpstr>Comparable Bond Issues</vt:lpstr>
      <vt:lpstr>County Fund Balance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Griffin</dc:creator>
  <cp:lastModifiedBy>Dean Landreth</cp:lastModifiedBy>
  <cp:lastPrinted>2017-11-30T13:43:39Z</cp:lastPrinted>
  <dcterms:created xsi:type="dcterms:W3CDTF">2017-09-11T16:55:03Z</dcterms:created>
  <dcterms:modified xsi:type="dcterms:W3CDTF">2017-11-30T13:45:38Z</dcterms:modified>
  <cp:contentStatus/>
</cp:coreProperties>
</file>